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codeName="ThisWorkbook" defaultThemeVersion="124226"/>
  <mc:AlternateContent xmlns:mc="http://schemas.openxmlformats.org/markup-compatibility/2006">
    <mc:Choice Requires="x15">
      <x15ac:absPath xmlns:x15ac="http://schemas.microsoft.com/office/spreadsheetml/2010/11/ac" url="https://oecd-my.sharepoint.com/personal/adrian_zerbe_oecd_org/Documents/SDOM 2022/DCP Updates/Questionnaires/Sent via SDOM/"/>
    </mc:Choice>
  </mc:AlternateContent>
  <xr:revisionPtr revIDLastSave="2" documentId="13_ncr:1_{A73EDD53-E3AF-48D1-B667-20C7C6AE5C3A}" xr6:coauthVersionLast="47" xr6:coauthVersionMax="47" xr10:uidLastSave="{C178587E-479B-4EA3-8A35-E952832F0EAA}"/>
  <bookViews>
    <workbookView xWindow="-28920" yWindow="-120" windowWidth="29040" windowHeight="15990" tabRatio="893" xr2:uid="{00000000-000D-0000-FFFF-FFFF00000000}"/>
  </bookViews>
  <sheets>
    <sheet name="Cover" sheetId="16" r:id="rId1"/>
    <sheet name="Contact_Info" sheetId="15" r:id="rId2"/>
    <sheet name="Definitions" sheetId="20" r:id="rId3"/>
    <sheet name="Data_source_Info" sheetId="12" r:id="rId4"/>
    <sheet name="Flat_file" sheetId="30" r:id="rId5"/>
    <sheet name="Result_summary" sheetId="6" r:id="rId6"/>
    <sheet name="Summary_Indicators" sheetId="26" r:id="rId7"/>
  </sheets>
  <definedNames>
    <definedName name="_xlnm._FilterDatabase" localSheetId="4" hidden="1">Flat_file!$A$1:$K$274</definedName>
    <definedName name="_xlnm.Print_Area" localSheetId="0">Cover!$B$1:$O$30</definedName>
    <definedName name="_xlnm.Print_Area" localSheetId="3">Data_source_Info!$B$3:$C$39</definedName>
    <definedName name="_xlnm.Print_Area" localSheetId="2">Definitions!$B$1:$B$33</definedName>
    <definedName name="_xlnm.Print_Area" localSheetId="5">Result_summary!$A$1:$O$45</definedName>
    <definedName name="_xlnm.Print_Titles" localSheetId="3">Data_source_Info!$3:$5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6" l="1"/>
  <c r="AF16" i="6" s="1"/>
  <c r="F31" i="6"/>
  <c r="AJ14" i="6"/>
  <c r="K14" i="6"/>
  <c r="AF13" i="6"/>
  <c r="G13" i="6"/>
  <c r="AA12" i="6"/>
  <c r="AF9" i="6"/>
  <c r="J9" i="6"/>
  <c r="G9" i="6"/>
  <c r="AF8" i="6"/>
  <c r="AE8" i="6"/>
  <c r="AN7" i="6"/>
  <c r="AA7" i="6"/>
  <c r="Z7" i="6"/>
  <c r="O7" i="6"/>
  <c r="AN6" i="6"/>
  <c r="N6" i="6"/>
  <c r="K6" i="6"/>
  <c r="E21" i="26"/>
  <c r="F21" i="26" s="1"/>
  <c r="G21" i="26" s="1"/>
  <c r="H21" i="26" s="1"/>
  <c r="I21" i="26" s="1"/>
  <c r="J21" i="26" s="1"/>
  <c r="K21" i="26" s="1"/>
  <c r="L21" i="26" s="1"/>
  <c r="M21" i="26" s="1"/>
  <c r="N21" i="26" s="1"/>
  <c r="O21" i="26" s="1"/>
  <c r="H14" i="12"/>
  <c r="F14" i="12"/>
  <c r="E14" i="12"/>
  <c r="H26" i="12"/>
  <c r="F26" i="12"/>
  <c r="E26" i="12"/>
  <c r="H25" i="12"/>
  <c r="F25" i="12"/>
  <c r="E25" i="12"/>
  <c r="H24" i="12"/>
  <c r="F24" i="12"/>
  <c r="E24" i="12"/>
  <c r="H23" i="12"/>
  <c r="H22" i="12"/>
  <c r="H21" i="12"/>
  <c r="H20" i="12"/>
  <c r="H19" i="12"/>
  <c r="H18" i="12"/>
  <c r="H17" i="12"/>
  <c r="H16" i="12"/>
  <c r="H15" i="12"/>
  <c r="H13" i="12"/>
  <c r="H12" i="12"/>
  <c r="H11" i="12"/>
  <c r="H10" i="12"/>
  <c r="H9" i="12"/>
  <c r="H8" i="12"/>
  <c r="H7" i="12"/>
  <c r="H6" i="12"/>
  <c r="H5" i="12"/>
  <c r="H4" i="12"/>
  <c r="E10" i="12"/>
  <c r="F10" i="12"/>
  <c r="F11" i="12"/>
  <c r="E11" i="12"/>
  <c r="F23" i="12"/>
  <c r="E23" i="12"/>
  <c r="F22" i="12"/>
  <c r="E22" i="12"/>
  <c r="F21" i="12"/>
  <c r="E21" i="12"/>
  <c r="F20" i="12"/>
  <c r="E20" i="12"/>
  <c r="F19" i="12"/>
  <c r="E19" i="12"/>
  <c r="F18" i="12"/>
  <c r="E18" i="12"/>
  <c r="F17" i="12"/>
  <c r="E17" i="12"/>
  <c r="F16" i="12"/>
  <c r="E16" i="12"/>
  <c r="F15" i="12"/>
  <c r="E15" i="12"/>
  <c r="F13" i="12"/>
  <c r="E13" i="12"/>
  <c r="F12" i="12"/>
  <c r="E12" i="12"/>
  <c r="F9" i="12"/>
  <c r="E9" i="12"/>
  <c r="F8" i="12"/>
  <c r="E8" i="12"/>
  <c r="F7" i="12"/>
  <c r="E7" i="12"/>
  <c r="F6" i="12"/>
  <c r="E6" i="12"/>
  <c r="F5" i="12"/>
  <c r="E5" i="12"/>
  <c r="F4" i="12"/>
  <c r="E4" i="12"/>
  <c r="C10" i="26"/>
  <c r="D10" i="26" s="1"/>
  <c r="E10" i="26" s="1"/>
  <c r="F10" i="26" s="1"/>
  <c r="G10" i="26" s="1"/>
  <c r="H10" i="26" s="1"/>
  <c r="I10" i="26" s="1"/>
  <c r="J10" i="26" s="1"/>
  <c r="K10" i="26" s="1"/>
  <c r="L10" i="26" s="1"/>
  <c r="M10" i="26" s="1"/>
  <c r="G7" i="6"/>
  <c r="L6" i="6"/>
  <c r="AK6" i="6"/>
  <c r="X7" i="6"/>
  <c r="AG9" i="6"/>
  <c r="X10" i="6"/>
  <c r="D12" i="6"/>
  <c r="AC12" i="6"/>
  <c r="H13" i="6"/>
  <c r="X15" i="6"/>
  <c r="H16" i="6"/>
  <c r="AG16" i="6"/>
  <c r="H28" i="6"/>
  <c r="AE29" i="6"/>
  <c r="L37" i="6"/>
  <c r="Z10" i="6"/>
  <c r="F12" i="6"/>
  <c r="AE12" i="6"/>
  <c r="J13" i="6"/>
  <c r="Z15" i="6"/>
  <c r="J16" i="6"/>
  <c r="AI16" i="6"/>
  <c r="O28" i="6"/>
  <c r="AM29" i="6"/>
  <c r="AA37" i="6"/>
  <c r="F38" i="6"/>
  <c r="K9" i="6"/>
  <c r="R9" i="6" s="1"/>
  <c r="L9" i="6"/>
  <c r="AJ9" i="6"/>
  <c r="K13" i="6"/>
  <c r="R13" i="6" s="1"/>
  <c r="AJ13" i="6"/>
  <c r="O14" i="6"/>
  <c r="AN14" i="6"/>
  <c r="AA15" i="6"/>
  <c r="D30" i="6"/>
  <c r="AA31" i="6"/>
  <c r="F32" i="6"/>
  <c r="AC34" i="6"/>
  <c r="H36" i="6"/>
  <c r="O38" i="6"/>
  <c r="D38" i="6"/>
  <c r="AL37" i="6"/>
  <c r="Z37" i="6"/>
  <c r="H37" i="6"/>
  <c r="AC35" i="6"/>
  <c r="K35" i="6"/>
  <c r="AK34" i="6"/>
  <c r="X34" i="6"/>
  <c r="F34" i="6"/>
  <c r="O31" i="6"/>
  <c r="D31" i="6"/>
  <c r="AE30" i="6"/>
  <c r="L30" i="6"/>
  <c r="AL29" i="6"/>
  <c r="AL41" i="6" s="1"/>
  <c r="N28" i="6"/>
  <c r="AI38" i="6"/>
  <c r="N38" i="6"/>
  <c r="AK37" i="6"/>
  <c r="X37" i="6"/>
  <c r="AM35" i="6"/>
  <c r="AA35" i="6"/>
  <c r="J35" i="6"/>
  <c r="R35" i="6" s="1"/>
  <c r="AJ34" i="6"/>
  <c r="O34" i="6"/>
  <c r="AI31" i="6"/>
  <c r="N31" i="6"/>
  <c r="AN30" i="6"/>
  <c r="AC30" i="6"/>
  <c r="K30" i="6"/>
  <c r="AG28" i="6"/>
  <c r="AG40" i="6" s="1"/>
  <c r="M28" i="6"/>
  <c r="AM16" i="6"/>
  <c r="AE16" i="6"/>
  <c r="N16" i="6"/>
  <c r="AM15" i="6"/>
  <c r="AM9" i="6"/>
  <c r="AE15" i="6"/>
  <c r="N15" i="6"/>
  <c r="S15" i="6" s="1"/>
  <c r="F15" i="6"/>
  <c r="J14" i="6"/>
  <c r="AM13" i="6"/>
  <c r="AM7" i="6"/>
  <c r="AE13" i="6"/>
  <c r="AE7" i="6"/>
  <c r="Z12" i="6"/>
  <c r="J12" i="6"/>
  <c r="AM10" i="6"/>
  <c r="AM22" i="6" s="1"/>
  <c r="AE10" i="6"/>
  <c r="AE9" i="6"/>
  <c r="N9" i="6"/>
  <c r="Z8" i="6"/>
  <c r="J8" i="6"/>
  <c r="N7" i="6"/>
  <c r="F7" i="6"/>
  <c r="AI6" i="6"/>
  <c r="Z6" i="6"/>
  <c r="Z18" i="6" s="1"/>
  <c r="J6" i="6"/>
  <c r="M38" i="6"/>
  <c r="AJ37" i="6"/>
  <c r="O37" i="6"/>
  <c r="D37" i="6"/>
  <c r="AE36" i="6"/>
  <c r="L36" i="6"/>
  <c r="AL35" i="6"/>
  <c r="Z35" i="6"/>
  <c r="H35" i="6"/>
  <c r="AI34" i="6"/>
  <c r="N34" i="6"/>
  <c r="N40" i="6" s="1"/>
  <c r="AN32" i="6"/>
  <c r="AC32" i="6"/>
  <c r="K32" i="6"/>
  <c r="AG31" i="6"/>
  <c r="M31" i="6"/>
  <c r="AM30" i="6"/>
  <c r="AA30" i="6"/>
  <c r="J30" i="6"/>
  <c r="AJ29" i="6"/>
  <c r="O29" i="6"/>
  <c r="D29" i="6"/>
  <c r="AE28" i="6"/>
  <c r="L28" i="6"/>
  <c r="AL16" i="6"/>
  <c r="AD16" i="6"/>
  <c r="M16" i="6"/>
  <c r="S16" i="6" s="1"/>
  <c r="E16" i="6"/>
  <c r="AL15" i="6"/>
  <c r="AL9" i="6"/>
  <c r="AD15" i="6"/>
  <c r="M15" i="6"/>
  <c r="E15" i="6"/>
  <c r="AH14" i="6"/>
  <c r="AH8" i="6"/>
  <c r="Y14" i="6"/>
  <c r="I14" i="6"/>
  <c r="AL13" i="6"/>
  <c r="AL7" i="6"/>
  <c r="AD13" i="6"/>
  <c r="AD7" i="6"/>
  <c r="M13" i="6"/>
  <c r="E13" i="6"/>
  <c r="AH12" i="6"/>
  <c r="Y12" i="6"/>
  <c r="Y18" i="6" s="1"/>
  <c r="I12" i="6"/>
  <c r="AL10" i="6"/>
  <c r="AD10" i="6"/>
  <c r="M10" i="6"/>
  <c r="E10" i="6"/>
  <c r="AD9" i="6"/>
  <c r="M9" i="6"/>
  <c r="S9" i="6" s="1"/>
  <c r="E9" i="6"/>
  <c r="Y8" i="6"/>
  <c r="I8" i="6"/>
  <c r="M7" i="6"/>
  <c r="E7" i="6"/>
  <c r="AH6" i="6"/>
  <c r="Y6" i="6"/>
  <c r="I6" i="6"/>
  <c r="AE38" i="6"/>
  <c r="L38" i="6"/>
  <c r="AI37" i="6"/>
  <c r="N37" i="6"/>
  <c r="AN36" i="6"/>
  <c r="AC36" i="6"/>
  <c r="K36" i="6"/>
  <c r="AK35" i="6"/>
  <c r="X35" i="6"/>
  <c r="F35" i="6"/>
  <c r="AG34" i="6"/>
  <c r="M34" i="6"/>
  <c r="AM32" i="6"/>
  <c r="AA32" i="6"/>
  <c r="J32" i="6"/>
  <c r="R32" i="6" s="1"/>
  <c r="AE31" i="6"/>
  <c r="L31" i="6"/>
  <c r="AL30" i="6"/>
  <c r="Z30" i="6"/>
  <c r="H30" i="6"/>
  <c r="AI29" i="6"/>
  <c r="N29" i="6"/>
  <c r="AN28" i="6"/>
  <c r="AC28" i="6"/>
  <c r="K28" i="6"/>
  <c r="AK16" i="6"/>
  <c r="AC16" i="6"/>
  <c r="L16" i="6"/>
  <c r="L10" i="6"/>
  <c r="D16" i="6"/>
  <c r="AK15" i="6"/>
  <c r="AK9" i="6"/>
  <c r="AC15" i="6"/>
  <c r="L15" i="6"/>
  <c r="D15" i="6"/>
  <c r="AG14" i="6"/>
  <c r="AG8" i="6"/>
  <c r="X14" i="6"/>
  <c r="H14" i="6"/>
  <c r="AK13" i="6"/>
  <c r="AK7" i="6"/>
  <c r="AC13" i="6"/>
  <c r="AC7" i="6"/>
  <c r="L13" i="6"/>
  <c r="D13" i="6"/>
  <c r="AG12" i="6"/>
  <c r="X12" i="6"/>
  <c r="H12" i="6"/>
  <c r="H17" i="6" s="1"/>
  <c r="AK10" i="6"/>
  <c r="AC10" i="6"/>
  <c r="AC22" i="6" s="1"/>
  <c r="D10" i="6"/>
  <c r="AC9" i="6"/>
  <c r="D9" i="6"/>
  <c r="X8" i="6"/>
  <c r="H8" i="6"/>
  <c r="L7" i="6"/>
  <c r="D7" i="6"/>
  <c r="D19" i="6" s="1"/>
  <c r="AG6" i="6"/>
  <c r="X6" i="6"/>
  <c r="H6" i="6"/>
  <c r="AN38" i="6"/>
  <c r="AC38" i="6"/>
  <c r="K38" i="6"/>
  <c r="AG37" i="6"/>
  <c r="M37" i="6"/>
  <c r="AM36" i="6"/>
  <c r="AM42" i="6" s="1"/>
  <c r="AA36" i="6"/>
  <c r="J36" i="6"/>
  <c r="AJ35" i="6"/>
  <c r="O35" i="6"/>
  <c r="D35" i="6"/>
  <c r="D41" i="6" s="1"/>
  <c r="AE34" i="6"/>
  <c r="L34" i="6"/>
  <c r="L40" i="6" s="1"/>
  <c r="AL32" i="6"/>
  <c r="Z32" i="6"/>
  <c r="H32" i="6"/>
  <c r="AN31" i="6"/>
  <c r="AC31" i="6"/>
  <c r="K31" i="6"/>
  <c r="AK30" i="6"/>
  <c r="X30" i="6"/>
  <c r="F30" i="6"/>
  <c r="AG29" i="6"/>
  <c r="M29" i="6"/>
  <c r="AM28" i="6"/>
  <c r="AA28" i="6"/>
  <c r="J28" i="6"/>
  <c r="R28" i="6" s="1"/>
  <c r="AL38" i="6"/>
  <c r="Z38" i="6"/>
  <c r="H38" i="6"/>
  <c r="H44" i="6" s="1"/>
  <c r="AN37" i="6"/>
  <c r="AC37" i="6"/>
  <c r="K37" i="6"/>
  <c r="AK36" i="6"/>
  <c r="X36" i="6"/>
  <c r="F36" i="6"/>
  <c r="AG35" i="6"/>
  <c r="M35" i="6"/>
  <c r="AM34" i="6"/>
  <c r="AA34" i="6"/>
  <c r="J34" i="6"/>
  <c r="AJ32" i="6"/>
  <c r="O32" i="6"/>
  <c r="D32" i="6"/>
  <c r="AL31" i="6"/>
  <c r="Z31" i="6"/>
  <c r="H31" i="6"/>
  <c r="AI30" i="6"/>
  <c r="N30" i="6"/>
  <c r="AN29" i="6"/>
  <c r="AC29" i="6"/>
  <c r="K29" i="6"/>
  <c r="AK28" i="6"/>
  <c r="X28" i="6"/>
  <c r="F28" i="6"/>
  <c r="AH16" i="6"/>
  <c r="AH10" i="6"/>
  <c r="Y16" i="6"/>
  <c r="Y10" i="6"/>
  <c r="I16" i="6"/>
  <c r="AH15" i="6"/>
  <c r="Y15" i="6"/>
  <c r="I15" i="6"/>
  <c r="AL14" i="6"/>
  <c r="AD14" i="6"/>
  <c r="M14" i="6"/>
  <c r="E14" i="6"/>
  <c r="AH13" i="6"/>
  <c r="Y13" i="6"/>
  <c r="I13" i="6"/>
  <c r="I7" i="6"/>
  <c r="AL12" i="6"/>
  <c r="AD12" i="6"/>
  <c r="M12" i="6"/>
  <c r="E12" i="6"/>
  <c r="I10" i="6"/>
  <c r="AH9" i="6"/>
  <c r="Y9" i="6"/>
  <c r="I9" i="6"/>
  <c r="AL8" i="6"/>
  <c r="AD8" i="6"/>
  <c r="M8" i="6"/>
  <c r="E8" i="6"/>
  <c r="AH7" i="6"/>
  <c r="Y7" i="6"/>
  <c r="AL6" i="6"/>
  <c r="AL11" i="6" s="1"/>
  <c r="AD6" i="6"/>
  <c r="M6" i="6"/>
  <c r="E6" i="6"/>
  <c r="AA6" i="6"/>
  <c r="AF7" i="6"/>
  <c r="K8" i="6"/>
  <c r="AJ8" i="6"/>
  <c r="AJ20" i="6" s="1"/>
  <c r="O9" i="6"/>
  <c r="AN9" i="6"/>
  <c r="G10" i="6"/>
  <c r="AF10" i="6"/>
  <c r="K12" i="6"/>
  <c r="AJ12" i="6"/>
  <c r="O13" i="6"/>
  <c r="AN13" i="6"/>
  <c r="AN19" i="6" s="1"/>
  <c r="AA14" i="6"/>
  <c r="G15" i="6"/>
  <c r="AF15" i="6"/>
  <c r="O16" i="6"/>
  <c r="AN16" i="6"/>
  <c r="AJ28" i="6"/>
  <c r="M30" i="6"/>
  <c r="AK31" i="6"/>
  <c r="N32" i="6"/>
  <c r="AL34" i="6"/>
  <c r="O36" i="6"/>
  <c r="AM37" i="6"/>
  <c r="X38" i="6"/>
  <c r="X32" i="6"/>
  <c r="D6" i="6"/>
  <c r="AC6" i="6"/>
  <c r="H7" i="6"/>
  <c r="H19" i="6" s="1"/>
  <c r="AG7" i="6"/>
  <c r="L8" i="6"/>
  <c r="AK8" i="6"/>
  <c r="X9" i="6"/>
  <c r="H10" i="6"/>
  <c r="AG10" i="6"/>
  <c r="L12" i="6"/>
  <c r="AK12" i="6"/>
  <c r="AK18" i="6" s="1"/>
  <c r="X13" i="6"/>
  <c r="D14" i="6"/>
  <c r="AC14" i="6"/>
  <c r="H15" i="6"/>
  <c r="AG15" i="6"/>
  <c r="AG21" i="6" s="1"/>
  <c r="X16" i="6"/>
  <c r="AL28" i="6"/>
  <c r="O30" i="6"/>
  <c r="AM31" i="6"/>
  <c r="AN34" i="6"/>
  <c r="Z36" i="6"/>
  <c r="Z42" i="6" s="1"/>
  <c r="AA38" i="6"/>
  <c r="AA44" i="6" s="1"/>
  <c r="F6" i="6"/>
  <c r="AE6" i="6"/>
  <c r="J7" i="6"/>
  <c r="J19" i="6" s="1"/>
  <c r="AI7" i="6"/>
  <c r="N8" i="6"/>
  <c r="AM8" i="6"/>
  <c r="Z9" i="6"/>
  <c r="J10" i="6"/>
  <c r="AI10" i="6"/>
  <c r="N12" i="6"/>
  <c r="AM12" i="6"/>
  <c r="Z13" i="6"/>
  <c r="F14" i="6"/>
  <c r="AE14" i="6"/>
  <c r="AE20" i="6" s="1"/>
  <c r="J15" i="6"/>
  <c r="J21" i="6" s="1"/>
  <c r="AI15" i="6"/>
  <c r="Z16" i="6"/>
  <c r="Z22" i="6" s="1"/>
  <c r="J29" i="6"/>
  <c r="AG30" i="6"/>
  <c r="AI32" i="6"/>
  <c r="AI44" i="6" s="1"/>
  <c r="L35" i="6"/>
  <c r="AJ36" i="6"/>
  <c r="AJ30" i="6"/>
  <c r="AK38" i="6"/>
  <c r="G6" i="6"/>
  <c r="G11" i="6" s="1"/>
  <c r="AF6" i="6"/>
  <c r="K7" i="6"/>
  <c r="K19" i="6" s="1"/>
  <c r="AJ7" i="6"/>
  <c r="AJ19" i="6" s="1"/>
  <c r="AJ10" i="6"/>
  <c r="O8" i="6"/>
  <c r="AN8" i="6"/>
  <c r="AA9" i="6"/>
  <c r="K10" i="6"/>
  <c r="O12" i="6"/>
  <c r="O17" i="6" s="1"/>
  <c r="AN12" i="6"/>
  <c r="AA13" i="6"/>
  <c r="G14" i="6"/>
  <c r="AF14" i="6"/>
  <c r="AF20" i="6" s="1"/>
  <c r="K15" i="6"/>
  <c r="AJ15" i="6"/>
  <c r="AJ21" i="6" s="1"/>
  <c r="AA16" i="6"/>
  <c r="L29" i="6"/>
  <c r="AK32" i="6"/>
  <c r="N35" i="6"/>
  <c r="N41" i="6" s="1"/>
  <c r="AL36" i="6"/>
  <c r="AM38" i="6"/>
  <c r="AM44" i="6" s="1"/>
  <c r="AD20" i="6"/>
  <c r="V28" i="6"/>
  <c r="AD22" i="6"/>
  <c r="R14" i="6"/>
  <c r="AD18" i="6"/>
  <c r="M19" i="6"/>
  <c r="AL22" i="6"/>
  <c r="P31" i="6"/>
  <c r="T31" i="6"/>
  <c r="F40" i="6"/>
  <c r="S6" i="6"/>
  <c r="S29" i="6"/>
  <c r="P15" i="6"/>
  <c r="Q7" i="6"/>
  <c r="P38" i="6"/>
  <c r="AE22" i="6"/>
  <c r="AF11" i="6" l="1"/>
  <c r="AE11" i="6"/>
  <c r="D11" i="6"/>
  <c r="R8" i="6"/>
  <c r="K41" i="6"/>
  <c r="S34" i="6"/>
  <c r="V6" i="6"/>
  <c r="AF21" i="6"/>
  <c r="S38" i="6"/>
  <c r="X19" i="6"/>
  <c r="AN43" i="6"/>
  <c r="P35" i="6"/>
  <c r="AE21" i="6"/>
  <c r="U9" i="6"/>
  <c r="K44" i="6"/>
  <c r="K42" i="6"/>
  <c r="R30" i="6"/>
  <c r="J17" i="6"/>
  <c r="AM41" i="6"/>
  <c r="AM33" i="6"/>
  <c r="AI12" i="6"/>
  <c r="AI18" i="6" s="1"/>
  <c r="Z14" i="6"/>
  <c r="F10" i="6"/>
  <c r="F29" i="6"/>
  <c r="F33" i="6" s="1"/>
  <c r="L32" i="6"/>
  <c r="V32" i="6" s="1"/>
  <c r="M36" i="6"/>
  <c r="AI28" i="6"/>
  <c r="AJ31" i="6"/>
  <c r="AJ43" i="6" s="1"/>
  <c r="AN35" i="6"/>
  <c r="AN41" i="6" s="1"/>
  <c r="AJ38" i="6"/>
  <c r="AJ44" i="6" s="1"/>
  <c r="Z28" i="6"/>
  <c r="AF12" i="6"/>
  <c r="AF18" i="6" s="1"/>
  <c r="D36" i="6"/>
  <c r="AM14" i="6"/>
  <c r="AI35" i="6"/>
  <c r="AI41" i="6" s="1"/>
  <c r="AK14" i="6"/>
  <c r="H9" i="6"/>
  <c r="H21" i="6" s="1"/>
  <c r="O6" i="6"/>
  <c r="O18" i="6" s="1"/>
  <c r="F8" i="6"/>
  <c r="AI9" i="6"/>
  <c r="AI21" i="6" s="1"/>
  <c r="AN15" i="6"/>
  <c r="AG18" i="6"/>
  <c r="AJ42" i="6"/>
  <c r="AM20" i="6"/>
  <c r="AL17" i="6"/>
  <c r="AL23" i="6" s="1"/>
  <c r="AG20" i="6"/>
  <c r="AG38" i="6"/>
  <c r="AG39" i="6" s="1"/>
  <c r="F9" i="6"/>
  <c r="F13" i="6"/>
  <c r="AI8" i="6"/>
  <c r="F16" i="6"/>
  <c r="T16" i="6" s="1"/>
  <c r="X29" i="6"/>
  <c r="X41" i="6" s="1"/>
  <c r="AE32" i="6"/>
  <c r="AE44" i="6" s="1"/>
  <c r="AG36" i="6"/>
  <c r="AG42" i="6" s="1"/>
  <c r="H29" i="6"/>
  <c r="H41" i="6" s="1"/>
  <c r="M32" i="6"/>
  <c r="M44" i="6" s="1"/>
  <c r="N36" i="6"/>
  <c r="J38" i="6"/>
  <c r="AJ16" i="6"/>
  <c r="AJ17" i="6" s="1"/>
  <c r="G12" i="6"/>
  <c r="Q12" i="6" s="1"/>
  <c r="Z34" i="6"/>
  <c r="Z40" i="6" s="1"/>
  <c r="N14" i="6"/>
  <c r="K34" i="6"/>
  <c r="R34" i="6" s="1"/>
  <c r="L14" i="6"/>
  <c r="AC8" i="6"/>
  <c r="AC20" i="6" s="1"/>
  <c r="AJ6" i="6"/>
  <c r="G8" i="6"/>
  <c r="U8" i="6" s="1"/>
  <c r="O10" i="6"/>
  <c r="O22" i="6" s="1"/>
  <c r="D28" i="6"/>
  <c r="D33" i="6" s="1"/>
  <c r="AJ18" i="6"/>
  <c r="AJ22" i="6"/>
  <c r="F20" i="6"/>
  <c r="AN21" i="6"/>
  <c r="N13" i="6"/>
  <c r="S13" i="6" s="1"/>
  <c r="AI14" i="6"/>
  <c r="AI20" i="6" s="1"/>
  <c r="N10" i="6"/>
  <c r="N22" i="6" s="1"/>
  <c r="AK29" i="6"/>
  <c r="AK41" i="6" s="1"/>
  <c r="D34" i="6"/>
  <c r="D39" i="6" s="1"/>
  <c r="D45" i="6" s="1"/>
  <c r="F37" i="6"/>
  <c r="F43" i="6" s="1"/>
  <c r="Z29" i="6"/>
  <c r="AG32" i="6"/>
  <c r="AI36" i="6"/>
  <c r="AI42" i="6" s="1"/>
  <c r="AE37" i="6"/>
  <c r="AE43" i="6" s="1"/>
  <c r="K16" i="6"/>
  <c r="R16" i="6" s="1"/>
  <c r="AA10" i="6"/>
  <c r="AA22" i="6" s="1"/>
  <c r="X31" i="6"/>
  <c r="X43" i="6" s="1"/>
  <c r="AI13" i="6"/>
  <c r="AI19" i="6" s="1"/>
  <c r="J31" i="6"/>
  <c r="V31" i="6" s="1"/>
  <c r="AG13" i="6"/>
  <c r="AG19" i="6" s="1"/>
  <c r="D8" i="6"/>
  <c r="D20" i="6" s="1"/>
  <c r="P20" i="6" s="1"/>
  <c r="AM6" i="6"/>
  <c r="AM18" i="6" s="1"/>
  <c r="AA8" i="6"/>
  <c r="AA20" i="6" s="1"/>
  <c r="AN10" i="6"/>
  <c r="AN22" i="6" s="1"/>
  <c r="AA29" i="6"/>
  <c r="AA41" i="6" s="1"/>
  <c r="P12" i="6"/>
  <c r="W16" i="6"/>
  <c r="AL21" i="6"/>
  <c r="R10" i="6"/>
  <c r="M17" i="6"/>
  <c r="AA40" i="6"/>
  <c r="O39" i="6"/>
  <c r="W29" i="6"/>
  <c r="AI39" i="6"/>
  <c r="R36" i="6"/>
  <c r="AK44" i="6"/>
  <c r="R38" i="6"/>
  <c r="V36" i="6"/>
  <c r="J40" i="6"/>
  <c r="K43" i="6"/>
  <c r="J42" i="6"/>
  <c r="R42" i="6" s="1"/>
  <c r="AC21" i="6"/>
  <c r="W34" i="6"/>
  <c r="T35" i="6"/>
  <c r="AH19" i="6"/>
  <c r="F42" i="6"/>
  <c r="AH18" i="6"/>
  <c r="T7" i="6"/>
  <c r="W38" i="6"/>
  <c r="AG22" i="6"/>
  <c r="D17" i="6"/>
  <c r="Q9" i="6"/>
  <c r="V38" i="6"/>
  <c r="AC41" i="6"/>
  <c r="K18" i="6"/>
  <c r="AN40" i="6"/>
  <c r="AL42" i="6"/>
  <c r="AA42" i="6"/>
  <c r="AI43" i="6"/>
  <c r="AI40" i="6"/>
  <c r="AL33" i="6"/>
  <c r="AC11" i="6"/>
  <c r="R19" i="6"/>
  <c r="V8" i="6"/>
  <c r="T37" i="6"/>
  <c r="AI22" i="6"/>
  <c r="F11" i="6"/>
  <c r="P11" i="6" s="1"/>
  <c r="AJ33" i="6"/>
  <c r="AF19" i="6"/>
  <c r="X42" i="6"/>
  <c r="AK21" i="6"/>
  <c r="O43" i="6"/>
  <c r="AG17" i="6"/>
  <c r="AJ41" i="6"/>
  <c r="F19" i="6"/>
  <c r="P19" i="6" s="1"/>
  <c r="W9" i="6"/>
  <c r="AC43" i="6"/>
  <c r="S37" i="6"/>
  <c r="AL39" i="6"/>
  <c r="V35" i="6"/>
  <c r="P14" i="6"/>
  <c r="P7" i="6"/>
  <c r="Z19" i="6"/>
  <c r="AK17" i="6"/>
  <c r="T14" i="6"/>
  <c r="F18" i="6"/>
  <c r="T12" i="6"/>
  <c r="V7" i="6"/>
  <c r="AM17" i="6"/>
  <c r="Y19" i="6"/>
  <c r="E33" i="26"/>
  <c r="AH21" i="6"/>
  <c r="AL43" i="6"/>
  <c r="Z17" i="6"/>
  <c r="AG33" i="6"/>
  <c r="AK39" i="6"/>
  <c r="L11" i="6"/>
  <c r="H11" i="6"/>
  <c r="AJ40" i="6"/>
  <c r="X44" i="6"/>
  <c r="AL44" i="6"/>
  <c r="X18" i="6"/>
  <c r="X11" i="6"/>
  <c r="R6" i="6"/>
  <c r="K11" i="6"/>
  <c r="AM43" i="6"/>
  <c r="E18" i="6"/>
  <c r="E17" i="6"/>
  <c r="W32" i="6"/>
  <c r="AG11" i="6"/>
  <c r="L33" i="6"/>
  <c r="N33" i="6"/>
  <c r="AK40" i="6"/>
  <c r="AN18" i="6"/>
  <c r="AN17" i="6"/>
  <c r="O42" i="6"/>
  <c r="S8" i="6"/>
  <c r="AK42" i="6"/>
  <c r="AE40" i="6"/>
  <c r="K33" i="6"/>
  <c r="I18" i="6"/>
  <c r="I17" i="6"/>
  <c r="AL19" i="6"/>
  <c r="J11" i="6"/>
  <c r="J23" i="6" s="1"/>
  <c r="AI33" i="6"/>
  <c r="Z33" i="6"/>
  <c r="O11" i="6"/>
  <c r="E11" i="6"/>
  <c r="AD17" i="6"/>
  <c r="J33" i="6"/>
  <c r="AC33" i="6"/>
  <c r="Y17" i="6"/>
  <c r="Z11" i="6"/>
  <c r="AJ11" i="6"/>
  <c r="W6" i="6"/>
  <c r="M11" i="6"/>
  <c r="AA39" i="6"/>
  <c r="X17" i="6"/>
  <c r="X23" i="6" s="1"/>
  <c r="AN33" i="6"/>
  <c r="I11" i="6"/>
  <c r="AH17" i="6"/>
  <c r="O41" i="6"/>
  <c r="AC44" i="6"/>
  <c r="AE42" i="6"/>
  <c r="AI11" i="6"/>
  <c r="V10" i="6"/>
  <c r="W12" i="6"/>
  <c r="N17" i="6"/>
  <c r="S17" i="6" s="1"/>
  <c r="L17" i="6"/>
  <c r="AD11" i="6"/>
  <c r="AM40" i="6"/>
  <c r="AM39" i="6"/>
  <c r="AM45" i="6" s="1"/>
  <c r="X20" i="6"/>
  <c r="Y11" i="6"/>
  <c r="AA17" i="6"/>
  <c r="R15" i="6"/>
  <c r="V15" i="6"/>
  <c r="AH11" i="6"/>
  <c r="M33" i="6"/>
  <c r="S31" i="6"/>
  <c r="AK43" i="6"/>
  <c r="V30" i="6"/>
  <c r="X39" i="6"/>
  <c r="Z43" i="6"/>
  <c r="AC40" i="6"/>
  <c r="AC39" i="6"/>
  <c r="O40" i="6"/>
  <c r="O33" i="6"/>
  <c r="AE17" i="6"/>
  <c r="AE23" i="6" s="1"/>
  <c r="AC17" i="6"/>
  <c r="AK11" i="6"/>
  <c r="O19" i="6"/>
  <c r="V13" i="6"/>
  <c r="L19" i="6"/>
  <c r="V19" i="6" s="1"/>
  <c r="M40" i="6"/>
  <c r="S40" i="6" s="1"/>
  <c r="S28" i="6"/>
  <c r="H18" i="6"/>
  <c r="Z44" i="6"/>
  <c r="P30" i="6"/>
  <c r="AA18" i="6"/>
  <c r="M18" i="6"/>
  <c r="S12" i="6"/>
  <c r="M20" i="6"/>
  <c r="S14" i="6"/>
  <c r="W14" i="6"/>
  <c r="Y22" i="6"/>
  <c r="AC19" i="6"/>
  <c r="N19" i="6"/>
  <c r="S19" i="6" s="1"/>
  <c r="S7" i="6"/>
  <c r="M43" i="6"/>
  <c r="W37" i="6"/>
  <c r="Z41" i="6"/>
  <c r="T32" i="6"/>
  <c r="P32" i="6"/>
  <c r="E31" i="26" s="1"/>
  <c r="J18" i="6"/>
  <c r="R18" i="6" s="1"/>
  <c r="Q10" i="6"/>
  <c r="U10" i="6"/>
  <c r="AL20" i="6"/>
  <c r="AH22" i="6"/>
  <c r="L18" i="6"/>
  <c r="D18" i="6"/>
  <c r="P6" i="6"/>
  <c r="T6" i="6"/>
  <c r="S30" i="6"/>
  <c r="E20" i="6"/>
  <c r="K21" i="6"/>
  <c r="R21" i="6" s="1"/>
  <c r="N18" i="6"/>
  <c r="M34" i="26"/>
  <c r="W30" i="6"/>
  <c r="P36" i="6"/>
  <c r="W28" i="6"/>
  <c r="W7" i="6"/>
  <c r="W31" i="6"/>
  <c r="G30" i="26"/>
  <c r="T38" i="6"/>
  <c r="D36" i="26" s="1"/>
  <c r="G20" i="6"/>
  <c r="X22" i="6"/>
  <c r="AC18" i="6"/>
  <c r="T36" i="6"/>
  <c r="Q8" i="6"/>
  <c r="AG41" i="6"/>
  <c r="AN44" i="6"/>
  <c r="T9" i="6"/>
  <c r="P9" i="6"/>
  <c r="AE18" i="6"/>
  <c r="Q13" i="6"/>
  <c r="U13" i="6"/>
  <c r="AF22" i="6"/>
  <c r="L39" i="6"/>
  <c r="D22" i="6"/>
  <c r="I20" i="6"/>
  <c r="J20" i="6"/>
  <c r="AM21" i="6"/>
  <c r="N44" i="6"/>
  <c r="O20" i="6"/>
  <c r="Y20" i="6"/>
  <c r="L42" i="6"/>
  <c r="Z20" i="6"/>
  <c r="D44" i="6"/>
  <c r="F39" i="6"/>
  <c r="F44" i="6"/>
  <c r="J22" i="6"/>
  <c r="H22" i="6"/>
  <c r="G19" i="6"/>
  <c r="V9" i="6"/>
  <c r="V14" i="6"/>
  <c r="D34" i="26" s="1"/>
  <c r="K20" i="6"/>
  <c r="I21" i="6"/>
  <c r="AG43" i="6"/>
  <c r="D21" i="6"/>
  <c r="L22" i="6"/>
  <c r="T30" i="6"/>
  <c r="AD21" i="6"/>
  <c r="E22" i="6"/>
  <c r="F22" i="6"/>
  <c r="O44" i="6"/>
  <c r="AA43" i="6"/>
  <c r="Z21" i="6"/>
  <c r="L43" i="6"/>
  <c r="X21" i="6"/>
  <c r="Y21" i="6"/>
  <c r="P28" i="6"/>
  <c r="L21" i="6"/>
  <c r="N43" i="6"/>
  <c r="AH20" i="6"/>
  <c r="M22" i="6"/>
  <c r="N39" i="6"/>
  <c r="D43" i="6"/>
  <c r="P43" i="6" s="1"/>
  <c r="M42" i="6"/>
  <c r="D42" i="6"/>
  <c r="O15" i="6"/>
  <c r="W8" i="6"/>
  <c r="D29" i="26" s="1"/>
  <c r="V12" i="6"/>
  <c r="X40" i="6"/>
  <c r="S35" i="6"/>
  <c r="AK19" i="6"/>
  <c r="AK22" i="6"/>
  <c r="E21" i="6"/>
  <c r="F21" i="6"/>
  <c r="N42" i="6"/>
  <c r="J44" i="6"/>
  <c r="N20" i="6"/>
  <c r="L20" i="6"/>
  <c r="L41" i="6"/>
  <c r="AK20" i="6"/>
  <c r="R7" i="6"/>
  <c r="T15" i="6"/>
  <c r="Q6" i="6"/>
  <c r="R29" i="6"/>
  <c r="AL40" i="6"/>
  <c r="U15" i="6"/>
  <c r="G21" i="6"/>
  <c r="I22" i="6"/>
  <c r="H20" i="6"/>
  <c r="AD19" i="6"/>
  <c r="M21" i="6"/>
  <c r="AE19" i="6"/>
  <c r="N21" i="6"/>
  <c r="AC42" i="6"/>
  <c r="G16" i="6"/>
  <c r="AM19" i="6"/>
  <c r="AN42" i="6"/>
  <c r="H43" i="6"/>
  <c r="H42" i="6"/>
  <c r="AA21" i="6"/>
  <c r="H29" i="26"/>
  <c r="H36" i="26"/>
  <c r="G36" i="26"/>
  <c r="L36" i="26"/>
  <c r="G29" i="26"/>
  <c r="M29" i="26"/>
  <c r="J30" i="26"/>
  <c r="J29" i="26"/>
  <c r="J41" i="6"/>
  <c r="T13" i="6"/>
  <c r="AA19" i="6"/>
  <c r="E19" i="6"/>
  <c r="Q15" i="6"/>
  <c r="AN20" i="6"/>
  <c r="M41" i="6"/>
  <c r="L29" i="26"/>
  <c r="U6" i="6"/>
  <c r="T10" i="6"/>
  <c r="P10" i="6"/>
  <c r="P13" i="6"/>
  <c r="V29" i="6"/>
  <c r="W35" i="6"/>
  <c r="M33" i="26" s="1"/>
  <c r="H30" i="26"/>
  <c r="R12" i="6"/>
  <c r="J36" i="26"/>
  <c r="U14" i="6"/>
  <c r="D30" i="26"/>
  <c r="U7" i="6"/>
  <c r="AL18" i="6"/>
  <c r="Q14" i="6"/>
  <c r="M39" i="6"/>
  <c r="AI45" i="6"/>
  <c r="I19" i="6"/>
  <c r="H34" i="6"/>
  <c r="AE35" i="6"/>
  <c r="AE39" i="6" s="1"/>
  <c r="J37" i="6"/>
  <c r="J43" i="6" s="1"/>
  <c r="T28" i="6" l="1"/>
  <c r="M27" i="26" s="1"/>
  <c r="H33" i="6"/>
  <c r="L28" i="26"/>
  <c r="N11" i="6"/>
  <c r="AM11" i="6"/>
  <c r="AM23" i="6" s="1"/>
  <c r="J13" i="26"/>
  <c r="AI17" i="6"/>
  <c r="AI23" i="6" s="1"/>
  <c r="D28" i="26"/>
  <c r="G17" i="6"/>
  <c r="AJ39" i="6"/>
  <c r="AE33" i="6"/>
  <c r="G28" i="26"/>
  <c r="AF17" i="6"/>
  <c r="AF23" i="6" s="1"/>
  <c r="K22" i="6"/>
  <c r="F41" i="6"/>
  <c r="T41" i="6" s="1"/>
  <c r="E30" i="26"/>
  <c r="F30" i="26" s="1"/>
  <c r="U12" i="6"/>
  <c r="E34" i="26"/>
  <c r="X33" i="6"/>
  <c r="X45" i="6" s="1"/>
  <c r="AA33" i="6"/>
  <c r="AA45" i="6" s="1"/>
  <c r="V16" i="6"/>
  <c r="F17" i="6"/>
  <c r="T17" i="6" s="1"/>
  <c r="Z39" i="6"/>
  <c r="Z45" i="6" s="1"/>
  <c r="G18" i="6"/>
  <c r="E27" i="26"/>
  <c r="C13" i="26"/>
  <c r="T11" i="6"/>
  <c r="B13" i="26"/>
  <c r="AG23" i="6"/>
  <c r="R31" i="6"/>
  <c r="E13" i="26"/>
  <c r="AN11" i="6"/>
  <c r="AN23" i="6" s="1"/>
  <c r="D40" i="6"/>
  <c r="P40" i="6" s="1"/>
  <c r="P34" i="6"/>
  <c r="E32" i="26" s="1"/>
  <c r="K40" i="6"/>
  <c r="V34" i="6"/>
  <c r="K39" i="6"/>
  <c r="K45" i="6" s="1"/>
  <c r="AG44" i="6"/>
  <c r="K17" i="6"/>
  <c r="R17" i="6" s="1"/>
  <c r="S32" i="6"/>
  <c r="W13" i="6"/>
  <c r="AA11" i="6"/>
  <c r="W10" i="6"/>
  <c r="S10" i="6"/>
  <c r="V17" i="6"/>
  <c r="T20" i="6"/>
  <c r="H13" i="26"/>
  <c r="T8" i="6"/>
  <c r="P8" i="6"/>
  <c r="E29" i="26" s="1"/>
  <c r="F29" i="26" s="1"/>
  <c r="AN39" i="6"/>
  <c r="AN45" i="6" s="1"/>
  <c r="W36" i="6"/>
  <c r="S36" i="6"/>
  <c r="P16" i="6"/>
  <c r="E36" i="26" s="1"/>
  <c r="L44" i="6"/>
  <c r="P37" i="6"/>
  <c r="E35" i="26" s="1"/>
  <c r="K13" i="26"/>
  <c r="Y23" i="6"/>
  <c r="AJ23" i="6"/>
  <c r="F13" i="26"/>
  <c r="K23" i="6"/>
  <c r="R23" i="6" s="1"/>
  <c r="AK33" i="6"/>
  <c r="P29" i="6"/>
  <c r="E28" i="26" s="1"/>
  <c r="T29" i="6"/>
  <c r="AL45" i="6"/>
  <c r="AJ45" i="6"/>
  <c r="F23" i="6"/>
  <c r="P39" i="6"/>
  <c r="M26" i="26"/>
  <c r="AD23" i="6"/>
  <c r="H23" i="26"/>
  <c r="V42" i="6"/>
  <c r="L45" i="6"/>
  <c r="O45" i="6"/>
  <c r="I23" i="6"/>
  <c r="P18" i="6"/>
  <c r="W40" i="6"/>
  <c r="M24" i="26"/>
  <c r="T43" i="6"/>
  <c r="F34" i="26"/>
  <c r="AC23" i="6"/>
  <c r="AG45" i="6"/>
  <c r="J26" i="26"/>
  <c r="Z23" i="6"/>
  <c r="F36" i="26"/>
  <c r="W18" i="6"/>
  <c r="AA23" i="6"/>
  <c r="D24" i="26"/>
  <c r="Q18" i="6"/>
  <c r="P17" i="6"/>
  <c r="AK23" i="6"/>
  <c r="E23" i="6"/>
  <c r="AK45" i="6"/>
  <c r="H24" i="26"/>
  <c r="G26" i="26"/>
  <c r="N23" i="6"/>
  <c r="T19" i="6"/>
  <c r="G23" i="26"/>
  <c r="D23" i="26"/>
  <c r="L24" i="26"/>
  <c r="J24" i="26"/>
  <c r="H26" i="26"/>
  <c r="V21" i="6"/>
  <c r="D26" i="26"/>
  <c r="L23" i="26"/>
  <c r="L26" i="26"/>
  <c r="K26" i="26" s="1"/>
  <c r="G24" i="26"/>
  <c r="W17" i="6"/>
  <c r="M23" i="26"/>
  <c r="W19" i="6"/>
  <c r="AC45" i="6"/>
  <c r="J23" i="26"/>
  <c r="E24" i="26"/>
  <c r="S33" i="6"/>
  <c r="W33" i="6"/>
  <c r="V33" i="6"/>
  <c r="R33" i="6"/>
  <c r="H23" i="6"/>
  <c r="W11" i="6"/>
  <c r="S11" i="6"/>
  <c r="Q20" i="6"/>
  <c r="T33" i="6"/>
  <c r="P33" i="6"/>
  <c r="V11" i="6"/>
  <c r="R11" i="6"/>
  <c r="T21" i="6"/>
  <c r="V22" i="6"/>
  <c r="Q11" i="6"/>
  <c r="U11" i="6"/>
  <c r="U17" i="6"/>
  <c r="Q17" i="6"/>
  <c r="S18" i="6"/>
  <c r="Q21" i="6"/>
  <c r="V18" i="6"/>
  <c r="I30" i="26"/>
  <c r="K29" i="26"/>
  <c r="N29" i="26" s="1"/>
  <c r="I29" i="26"/>
  <c r="H33" i="26"/>
  <c r="S21" i="6"/>
  <c r="P21" i="6"/>
  <c r="E25" i="26" s="1"/>
  <c r="S42" i="6"/>
  <c r="W42" i="6"/>
  <c r="AH23" i="6"/>
  <c r="S44" i="6"/>
  <c r="W44" i="6"/>
  <c r="M28" i="26"/>
  <c r="K28" i="26" s="1"/>
  <c r="S22" i="6"/>
  <c r="W22" i="6"/>
  <c r="P22" i="6"/>
  <c r="T22" i="6"/>
  <c r="V44" i="6"/>
  <c r="R44" i="6"/>
  <c r="O21" i="6"/>
  <c r="W21" i="6" s="1"/>
  <c r="W15" i="6"/>
  <c r="O23" i="6"/>
  <c r="L30" i="26"/>
  <c r="M30" i="26"/>
  <c r="S43" i="6"/>
  <c r="W43" i="6"/>
  <c r="W20" i="6"/>
  <c r="S20" i="6"/>
  <c r="M23" i="6"/>
  <c r="J34" i="26"/>
  <c r="F45" i="6"/>
  <c r="P45" i="6" s="1"/>
  <c r="I36" i="26"/>
  <c r="T42" i="6"/>
  <c r="P42" i="6"/>
  <c r="H34" i="26"/>
  <c r="J28" i="26"/>
  <c r="L27" i="26"/>
  <c r="K27" i="26" s="1"/>
  <c r="L34" i="26"/>
  <c r="K34" i="26" s="1"/>
  <c r="U21" i="6"/>
  <c r="T18" i="6"/>
  <c r="R43" i="6"/>
  <c r="V43" i="6"/>
  <c r="G22" i="6"/>
  <c r="Q22" i="6" s="1"/>
  <c r="U16" i="6"/>
  <c r="Q16" i="6"/>
  <c r="V20" i="6"/>
  <c r="R20" i="6"/>
  <c r="U18" i="6"/>
  <c r="H28" i="26"/>
  <c r="R22" i="6"/>
  <c r="N45" i="6"/>
  <c r="P44" i="6"/>
  <c r="T44" i="6"/>
  <c r="U20" i="6"/>
  <c r="D23" i="6"/>
  <c r="L23" i="6"/>
  <c r="G34" i="26"/>
  <c r="M36" i="26"/>
  <c r="K36" i="26" s="1"/>
  <c r="N36" i="26" s="1"/>
  <c r="G27" i="26"/>
  <c r="J27" i="26"/>
  <c r="D31" i="26"/>
  <c r="F31" i="26" s="1"/>
  <c r="J31" i="26"/>
  <c r="R41" i="6"/>
  <c r="V41" i="6"/>
  <c r="G23" i="6"/>
  <c r="U23" i="6" s="1"/>
  <c r="U19" i="6"/>
  <c r="Q19" i="6"/>
  <c r="L31" i="26"/>
  <c r="M31" i="26"/>
  <c r="R37" i="6"/>
  <c r="V37" i="6"/>
  <c r="J39" i="6"/>
  <c r="G31" i="26"/>
  <c r="H31" i="26"/>
  <c r="AE45" i="6"/>
  <c r="AE41" i="6"/>
  <c r="H40" i="6"/>
  <c r="T40" i="6" s="1"/>
  <c r="T34" i="6"/>
  <c r="H39" i="6"/>
  <c r="S39" i="6"/>
  <c r="W39" i="6"/>
  <c r="M45" i="6"/>
  <c r="D27" i="26"/>
  <c r="F27" i="26" s="1"/>
  <c r="S41" i="6"/>
  <c r="W41" i="6"/>
  <c r="D33" i="26"/>
  <c r="J33" i="26"/>
  <c r="L33" i="26"/>
  <c r="K33" i="26" s="1"/>
  <c r="G33" i="26"/>
  <c r="H27" i="26"/>
  <c r="I28" i="26" l="1"/>
  <c r="F28" i="26"/>
  <c r="J25" i="26"/>
  <c r="E26" i="26"/>
  <c r="P23" i="6"/>
  <c r="P41" i="6"/>
  <c r="E23" i="26" s="1"/>
  <c r="F23" i="26" s="1"/>
  <c r="R40" i="6"/>
  <c r="V40" i="6"/>
  <c r="E22" i="26"/>
  <c r="M25" i="26"/>
  <c r="L25" i="26"/>
  <c r="D25" i="26"/>
  <c r="F25" i="26" s="1"/>
  <c r="G25" i="26"/>
  <c r="H25" i="26"/>
  <c r="I25" i="26" s="1"/>
  <c r="V23" i="6"/>
  <c r="M22" i="26"/>
  <c r="K24" i="26"/>
  <c r="N24" i="26" s="1"/>
  <c r="N26" i="26"/>
  <c r="W23" i="6"/>
  <c r="F26" i="26"/>
  <c r="S23" i="6"/>
  <c r="K23" i="26"/>
  <c r="N23" i="26" s="1"/>
  <c r="F24" i="26"/>
  <c r="I24" i="26"/>
  <c r="I23" i="26"/>
  <c r="I26" i="26"/>
  <c r="N33" i="26"/>
  <c r="F33" i="26"/>
  <c r="I33" i="26"/>
  <c r="N28" i="26"/>
  <c r="O28" i="26" s="1"/>
  <c r="O29" i="26"/>
  <c r="I34" i="26"/>
  <c r="O36" i="26"/>
  <c r="N27" i="26"/>
  <c r="T23" i="6"/>
  <c r="U22" i="6"/>
  <c r="K30" i="26"/>
  <c r="N30" i="26" s="1"/>
  <c r="O30" i="26" s="1"/>
  <c r="Q23" i="6"/>
  <c r="N34" i="26"/>
  <c r="J32" i="26"/>
  <c r="G32" i="26"/>
  <c r="M32" i="26"/>
  <c r="L32" i="26"/>
  <c r="D32" i="26"/>
  <c r="F32" i="26" s="1"/>
  <c r="H32" i="26"/>
  <c r="L35" i="26"/>
  <c r="M35" i="26"/>
  <c r="G35" i="26"/>
  <c r="H35" i="26"/>
  <c r="J35" i="26"/>
  <c r="D35" i="26"/>
  <c r="F35" i="26" s="1"/>
  <c r="J22" i="26"/>
  <c r="D22" i="26"/>
  <c r="G22" i="26"/>
  <c r="I27" i="26"/>
  <c r="K31" i="26"/>
  <c r="N31" i="26" s="1"/>
  <c r="I31" i="26"/>
  <c r="H22" i="26"/>
  <c r="J45" i="6"/>
  <c r="R39" i="6"/>
  <c r="V39" i="6"/>
  <c r="W45" i="6"/>
  <c r="S45" i="6"/>
  <c r="L22" i="26"/>
  <c r="I13" i="26"/>
  <c r="H45" i="6"/>
  <c r="C12" i="26" s="1"/>
  <c r="T39" i="6"/>
  <c r="O24" i="26" l="1"/>
  <c r="B12" i="26"/>
  <c r="K25" i="26"/>
  <c r="N25" i="26" s="1"/>
  <c r="E12" i="26"/>
  <c r="K12" i="26"/>
  <c r="K22" i="26"/>
  <c r="N22" i="26" s="1"/>
  <c r="F12" i="26"/>
  <c r="J12" i="26"/>
  <c r="T45" i="6"/>
  <c r="H12" i="26"/>
  <c r="O26" i="26"/>
  <c r="O34" i="26"/>
  <c r="O25" i="26"/>
  <c r="O33" i="26"/>
  <c r="O23" i="26"/>
  <c r="O31" i="26"/>
  <c r="O27" i="26"/>
  <c r="K32" i="26"/>
  <c r="N32" i="26" s="1"/>
  <c r="K35" i="26"/>
  <c r="N35" i="26" s="1"/>
  <c r="H14" i="26"/>
  <c r="F14" i="26"/>
  <c r="B14" i="26"/>
  <c r="C14" i="26"/>
  <c r="E14" i="26"/>
  <c r="G13" i="26"/>
  <c r="D13" i="26"/>
  <c r="I35" i="26"/>
  <c r="I32" i="26"/>
  <c r="J14" i="26"/>
  <c r="F22" i="26"/>
  <c r="I22" i="26"/>
  <c r="K14" i="26"/>
  <c r="L13" i="26"/>
  <c r="R45" i="6"/>
  <c r="V45" i="6"/>
  <c r="O32" i="26" l="1"/>
  <c r="O35" i="26"/>
  <c r="O22" i="26"/>
  <c r="G14" i="26"/>
  <c r="D14" i="26"/>
  <c r="I12" i="26"/>
  <c r="I14" i="26"/>
  <c r="L14" i="26" s="1"/>
  <c r="M13" i="26"/>
  <c r="M14" i="26" l="1"/>
  <c r="L12" i="26"/>
  <c r="G12" i="26"/>
  <c r="D12" i="26"/>
  <c r="M12"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NORMANDEAU Simon</author>
  </authors>
  <commentList>
    <comment ref="B33" authorId="0" shapeId="0" xr:uid="{00000000-0006-0000-0300-000001000000}">
      <text>
        <r>
          <rPr>
            <b/>
            <sz val="9"/>
            <color indexed="81"/>
            <rFont val="Tahoma"/>
            <family val="2"/>
          </rPr>
          <t>(*) Example: Born in March 1990 = 19 years-old in January 2010.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NORMANDEAU Simon</author>
    <author>GUO Yanjun</author>
  </authors>
  <commentList>
    <comment ref="A1" authorId="0" shapeId="0" xr:uid="{D101B23E-A58E-4F16-BC97-A29C03D9A6DC}">
      <text>
        <r>
          <rPr>
            <b/>
            <sz val="9"/>
            <color indexed="81"/>
            <rFont val="Tahoma"/>
            <family val="2"/>
          </rPr>
          <t>Please enter the country ISO code (3 letters)</t>
        </r>
        <r>
          <rPr>
            <sz val="9"/>
            <color indexed="81"/>
            <rFont val="Tahoma"/>
            <family val="2"/>
          </rPr>
          <t xml:space="preserve">
For example AUS for Australia.</t>
        </r>
      </text>
    </comment>
    <comment ref="B1" authorId="0" shapeId="0" xr:uid="{CF4E879E-8296-44D0-8FBD-FF7374CA2272}">
      <text>
        <r>
          <rPr>
            <b/>
            <sz val="9"/>
            <color indexed="81"/>
            <rFont val="Tahoma"/>
            <family val="2"/>
          </rPr>
          <t>Please enter the year following this format: 
- YYYY</t>
        </r>
        <r>
          <rPr>
            <sz val="9"/>
            <color indexed="81"/>
            <rFont val="Tahoma"/>
            <family val="2"/>
          </rPr>
          <t xml:space="preserve">
for example </t>
        </r>
        <r>
          <rPr>
            <b/>
            <sz val="9"/>
            <color indexed="81"/>
            <rFont val="Tahoma"/>
            <family val="2"/>
          </rPr>
          <t xml:space="preserve">1999 </t>
        </r>
        <r>
          <rPr>
            <sz val="9"/>
            <color indexed="81"/>
            <rFont val="Tahoma"/>
            <family val="2"/>
          </rPr>
          <t xml:space="preserve">instead of </t>
        </r>
        <r>
          <rPr>
            <b/>
            <sz val="9"/>
            <color indexed="81"/>
            <rFont val="Tahoma"/>
            <family val="2"/>
          </rPr>
          <t>99</t>
        </r>
      </text>
    </comment>
    <comment ref="C1" authorId="0" shapeId="0" xr:uid="{DE0C8F86-B0C8-4A44-B5B5-AFC5F145F874}">
      <text>
        <r>
          <rPr>
            <b/>
            <sz val="9"/>
            <color indexed="81"/>
            <rFont val="Tahoma"/>
            <family val="2"/>
          </rPr>
          <t xml:space="preserve">Please enter gender according to the following two categories:
- Men
- Women  </t>
        </r>
      </text>
    </comment>
    <comment ref="D1" authorId="0" shapeId="0" xr:uid="{0AE8A78D-78E5-4D7C-A08C-59C8B72DC026}">
      <text>
        <r>
          <rPr>
            <b/>
            <sz val="9"/>
            <color indexed="81"/>
            <rFont val="Tahoma"/>
            <family val="2"/>
          </rPr>
          <t>Please enter age groups according to the following three categories : 
- 15-19
- 20-24
- 25-29
- 18-24</t>
        </r>
      </text>
    </comment>
    <comment ref="E1" authorId="0" shapeId="0" xr:uid="{8B73718C-1503-400A-B0DE-C29A65935AAB}">
      <text>
        <r>
          <rPr>
            <b/>
            <sz val="9"/>
            <color indexed="81"/>
            <rFont val="Tahoma"/>
            <family val="2"/>
          </rPr>
          <t>Please enter the breakdown by school status according to the following categories: 
E = In education
NE = Not in education</t>
        </r>
      </text>
    </comment>
    <comment ref="F1" authorId="0" shapeId="0" xr:uid="{6182BB0A-A376-4773-9B92-9F7E79B40EE7}">
      <text>
        <r>
          <rPr>
            <b/>
            <sz val="9"/>
            <color indexed="81"/>
            <rFont val="Tahoma"/>
            <family val="2"/>
          </rPr>
          <t>Please enter the breakdown by work-study programme according to the following categories:
Yes = participate in a work-study programme
No = do not participate in a work-study programme
m = missing
a = not applicable</t>
        </r>
      </text>
    </comment>
    <comment ref="G1" authorId="0" shapeId="0" xr:uid="{AB5D5AF9-B7BD-470E-A874-4FDFA1B76A2C}">
      <text>
        <r>
          <rPr>
            <b/>
            <sz val="9"/>
            <color indexed="81"/>
            <rFont val="Tahoma"/>
            <family val="2"/>
          </rPr>
          <t xml:space="preserve">Please enter the educational attainment level according to the following ISCED-2011 aggregated categories: 
Below = </t>
        </r>
        <r>
          <rPr>
            <sz val="9"/>
            <color indexed="81"/>
            <rFont val="Tahoma"/>
            <family val="2"/>
          </rPr>
          <t xml:space="preserve">highest level of education completed is below upper secondary education
</t>
        </r>
        <r>
          <rPr>
            <b/>
            <sz val="9"/>
            <color indexed="81"/>
            <rFont val="Tahoma"/>
            <family val="2"/>
          </rPr>
          <t>Upper</t>
        </r>
        <r>
          <rPr>
            <sz val="9"/>
            <color indexed="81"/>
            <rFont val="Tahoma"/>
            <family val="2"/>
          </rPr>
          <t xml:space="preserve"> = highest level of education completed is upper secondary or post-secondary non-tertiary education
</t>
        </r>
        <r>
          <rPr>
            <b/>
            <sz val="9"/>
            <color indexed="81"/>
            <rFont val="Tahoma"/>
            <family val="2"/>
          </rPr>
          <t>Upper - general</t>
        </r>
        <r>
          <rPr>
            <sz val="9"/>
            <color indexed="81"/>
            <rFont val="Tahoma"/>
            <family val="2"/>
          </rPr>
          <t xml:space="preserve"> = highest level of education completed is general upper secondary or post-secondary non-tertiary education
</t>
        </r>
        <r>
          <rPr>
            <b/>
            <sz val="9"/>
            <color indexed="81"/>
            <rFont val="Tahoma"/>
            <family val="2"/>
          </rPr>
          <t>Upper - vocational</t>
        </r>
        <r>
          <rPr>
            <sz val="9"/>
            <color indexed="81"/>
            <rFont val="Tahoma"/>
            <family val="2"/>
          </rPr>
          <t xml:space="preserve"> = highest level of education completed is vocational upper secondary or post-secondary non-tertiary education
</t>
        </r>
        <r>
          <rPr>
            <b/>
            <sz val="9"/>
            <color indexed="81"/>
            <rFont val="Tahoma"/>
            <family val="2"/>
          </rPr>
          <t>Tertiary</t>
        </r>
        <r>
          <rPr>
            <sz val="9"/>
            <color indexed="81"/>
            <rFont val="Tahoma"/>
            <family val="2"/>
          </rPr>
          <t xml:space="preserve"> = highest level of education completed is tertiary education</t>
        </r>
      </text>
    </comment>
    <comment ref="H1" authorId="0" shapeId="0" xr:uid="{A291C5D4-FF7B-4E44-945F-0D921EE3C93A}">
      <text>
        <r>
          <rPr>
            <b/>
            <sz val="9"/>
            <color indexed="81"/>
            <rFont val="Tahoma"/>
            <family val="2"/>
          </rPr>
          <t xml:space="preserve">Please enter the labour force status according to the following three categories: 
E = employed
U = unemployed
I = inactive
</t>
        </r>
      </text>
    </comment>
    <comment ref="I1" authorId="1" shapeId="0" xr:uid="{22EC05B8-27A8-4AC7-A1B4-A0AE99902852}">
      <text>
        <r>
          <rPr>
            <b/>
            <sz val="9"/>
            <color indexed="81"/>
            <rFont val="Tahoma"/>
            <family val="2"/>
          </rPr>
          <t>Weighted number of persons in thousands</t>
        </r>
      </text>
    </comment>
    <comment ref="J1" authorId="0" shapeId="0" xr:uid="{DA94696A-7029-4B63-B64E-47EEB15211F2}">
      <text>
        <r>
          <rPr>
            <b/>
            <sz val="9"/>
            <color indexed="81"/>
            <rFont val="Tahoma"/>
            <family val="2"/>
          </rPr>
          <t xml:space="preserve">True number of interviews (i.e. non-weighted number of persons)
</t>
        </r>
      </text>
    </comment>
    <comment ref="K1" authorId="0" shapeId="0" xr:uid="{B1617DFC-7444-447A-A39D-6FFEB332BA10}">
      <text>
        <r>
          <rPr>
            <b/>
            <sz val="9"/>
            <color indexed="81"/>
            <rFont val="Tahoma"/>
            <family val="2"/>
          </rPr>
          <t>Please provide any additional information you think may help to understand the data.</t>
        </r>
        <r>
          <rPr>
            <sz val="9"/>
            <color indexed="81"/>
            <rFont val="Tahoma"/>
            <family val="2"/>
          </rPr>
          <t xml:space="preserve">
</t>
        </r>
      </text>
    </comment>
  </commentList>
</comments>
</file>

<file path=xl/sharedStrings.xml><?xml version="1.0" encoding="utf-8"?>
<sst xmlns="http://schemas.openxmlformats.org/spreadsheetml/2006/main" count="477" uniqueCount="236">
  <si>
    <t>15-19</t>
  </si>
  <si>
    <t>20-24</t>
  </si>
  <si>
    <t>25-29</t>
  </si>
  <si>
    <t>In education</t>
  </si>
  <si>
    <t>Not in education</t>
  </si>
  <si>
    <t>of which in a work-study programme</t>
  </si>
  <si>
    <t>Employed</t>
  </si>
  <si>
    <t>Unemployed</t>
  </si>
  <si>
    <t>Inactive</t>
  </si>
  <si>
    <t>Tertiary</t>
  </si>
  <si>
    <t>Educational attainment</t>
  </si>
  <si>
    <t>Below upper secondary</t>
  </si>
  <si>
    <t>Upper secondary or post-secondary non-tertiary</t>
  </si>
  <si>
    <t>PERSONS IN THOUSANDS</t>
  </si>
  <si>
    <t>SAMPLE SIZE</t>
  </si>
  <si>
    <t>Agency providing the data</t>
  </si>
  <si>
    <t>About the sample design: maximum number of survey waves for a person during the reference period? (Please respond 1 if a person can only be surveyed once)</t>
  </si>
  <si>
    <t>1. Please provide information on the person(s) responsible for completing this questionnaire.</t>
  </si>
  <si>
    <t>Contact 1: Person in charge of completing the questionnaire:</t>
  </si>
  <si>
    <t>Function:</t>
  </si>
  <si>
    <t>Phone number:</t>
  </si>
  <si>
    <t>Contact 2: Other person in charge of completing or submitting the questionnaire:</t>
  </si>
  <si>
    <t xml:space="preserve">Country: </t>
  </si>
  <si>
    <t>2. Please provide the website address(es) where national statistics included in this questionnaire are published.</t>
  </si>
  <si>
    <t>Please select</t>
  </si>
  <si>
    <t>Website address 1:</t>
  </si>
  <si>
    <t>Website address 2 (if applicable):</t>
  </si>
  <si>
    <t xml:space="preserve">Reference year : </t>
  </si>
  <si>
    <t>Additional information</t>
  </si>
  <si>
    <t>First name:</t>
  </si>
  <si>
    <t>Last name:</t>
  </si>
  <si>
    <t>Is age measured at the survey time?</t>
  </si>
  <si>
    <r>
      <rPr>
        <b/>
        <sz val="10"/>
        <color theme="1"/>
        <rFont val="Arial"/>
        <family val="2"/>
      </rPr>
      <t>Employed</t>
    </r>
    <r>
      <rPr>
        <i/>
        <sz val="10"/>
        <color theme="1"/>
        <rFont val="Arial"/>
        <family val="2"/>
      </rPr>
      <t xml:space="preserve">: </t>
    </r>
    <r>
      <rPr>
        <sz val="10"/>
        <color theme="1"/>
        <rFont val="Arial"/>
        <family val="2"/>
      </rPr>
      <t>Employed individuals are those who, during the survey reference week: i) work for pay (employees) or profit (self-employed and unpaid family workers) for at least one hour; or ii) have a job but are temporarily not at work (through injury, illness, holiday, strike or lock-out, educational or training leave, maternity or parental leave, etc.).</t>
    </r>
  </si>
  <si>
    <r>
      <rPr>
        <b/>
        <sz val="10"/>
        <color theme="1"/>
        <rFont val="Arial"/>
        <family val="2"/>
      </rPr>
      <t>Unemployed</t>
    </r>
    <r>
      <rPr>
        <i/>
        <sz val="10"/>
        <color theme="1"/>
        <rFont val="Arial"/>
        <family val="2"/>
      </rPr>
      <t>:</t>
    </r>
    <r>
      <rPr>
        <sz val="10"/>
        <color theme="1"/>
        <rFont val="Arial"/>
        <family val="2"/>
      </rPr>
      <t xml:space="preserve"> Unemployed individuals are those who are, during the survey reference week, without work (i.e. neither had a job nor were at work for one hour or more in paid employment or self-employment), actively seeking employment (i.e. had taken specific steps during the four weeks prior to the reference week to seek paid employment or self-employment), and currently available to start work (i.e. were available for paid employment or self-employment before the end of the two weeks following the reference week).</t>
    </r>
  </si>
  <si>
    <r>
      <rPr>
        <b/>
        <sz val="10"/>
        <color theme="1"/>
        <rFont val="Arial"/>
        <family val="2"/>
      </rPr>
      <t>Inactive</t>
    </r>
    <r>
      <rPr>
        <i/>
        <sz val="10"/>
        <color theme="1"/>
        <rFont val="Arial"/>
        <family val="2"/>
      </rPr>
      <t xml:space="preserve">: </t>
    </r>
    <r>
      <rPr>
        <sz val="10"/>
        <color theme="1"/>
        <rFont val="Arial"/>
        <family val="2"/>
      </rPr>
      <t>Inactive individuals are those who are, during the survey reference week, neither employed nor unemployed, i.e. individuals who are not looking for a job.</t>
    </r>
  </si>
  <si>
    <r>
      <rPr>
        <b/>
        <sz val="10"/>
        <color theme="1"/>
        <rFont val="Arial"/>
        <family val="2"/>
      </rPr>
      <t>Tertiary</t>
    </r>
    <r>
      <rPr>
        <sz val="10"/>
        <color theme="1"/>
        <rFont val="Arial"/>
        <family val="2"/>
      </rPr>
      <t>: Tertiary education corresponds to ISCED levels 5 to 8.</t>
    </r>
  </si>
  <si>
    <r>
      <rPr>
        <b/>
        <sz val="10"/>
        <color theme="1"/>
        <rFont val="Arial"/>
        <family val="2"/>
      </rPr>
      <t>Below upper secondary</t>
    </r>
    <r>
      <rPr>
        <sz val="10"/>
        <color theme="1"/>
        <rFont val="Arial"/>
        <family val="2"/>
      </rPr>
      <t>: Below upper secondary education corresponds to ISCED levels 0 to 2.</t>
    </r>
  </si>
  <si>
    <t>COUNTRY</t>
  </si>
  <si>
    <t>YEAR</t>
  </si>
  <si>
    <t>Women</t>
  </si>
  <si>
    <t>Men</t>
  </si>
  <si>
    <t>Aggregated ISCED-A 2011</t>
  </si>
  <si>
    <t xml:space="preserve">Reference year: </t>
  </si>
  <si>
    <t>Please indicate the period during which participation in formal education is surveyed (4 weeks, 1 year, etc.)</t>
  </si>
  <si>
    <r>
      <rPr>
        <b/>
        <sz val="10"/>
        <color theme="1"/>
        <rFont val="Arial"/>
        <family val="2"/>
      </rPr>
      <t>Gender</t>
    </r>
    <r>
      <rPr>
        <sz val="10"/>
        <color theme="1"/>
        <rFont val="Arial"/>
        <family val="2"/>
      </rPr>
      <t>: Men, Women. Combined data (Men plus Women) are not needed.</t>
    </r>
  </si>
  <si>
    <r>
      <rPr>
        <b/>
        <sz val="10"/>
        <color theme="1"/>
        <rFont val="Arial"/>
        <family val="2"/>
      </rPr>
      <t>Year</t>
    </r>
    <r>
      <rPr>
        <sz val="10"/>
        <color theme="1"/>
        <rFont val="Arial"/>
        <family val="2"/>
      </rPr>
      <t>: Data should refer to the first quarter of each year YYYY comprising the following months (January, February, March). In case of seasonal quarters, we are looking for data for spring quarters (March, April, May).</t>
    </r>
  </si>
  <si>
    <t>Do work-study programmes exist in the country?</t>
  </si>
  <si>
    <t>Do you have a threshold under which you would prefer your data not to be published or published with a note of caution? If your answer is "No" you can skip to the next block of questions. Please note that in this case we will apply a minimum threshold of 30 to the denominator (unweighted).</t>
  </si>
  <si>
    <t>Sub-total (employed + unemployed + inactive)</t>
  </si>
  <si>
    <t>NEET</t>
  </si>
  <si>
    <t>Other employed</t>
  </si>
  <si>
    <t xml:space="preserve">Unemployed  </t>
  </si>
  <si>
    <t>Men+Women</t>
  </si>
  <si>
    <t>Total</t>
  </si>
  <si>
    <t>Students in work-study programmes</t>
  </si>
  <si>
    <t>Organisation:</t>
  </si>
  <si>
    <t>E-mail address:</t>
  </si>
  <si>
    <t>Definitions</t>
  </si>
  <si>
    <r>
      <rPr>
        <b/>
        <sz val="10"/>
        <color theme="1"/>
        <rFont val="Arial"/>
        <family val="2"/>
      </rPr>
      <t>Partial completion</t>
    </r>
    <r>
      <rPr>
        <sz val="10"/>
        <color theme="1"/>
        <rFont val="Arial"/>
        <family val="2"/>
      </rPr>
      <t>: Successful completion of a programme representing at least 2 years at ISCED level 3 and a cumulative duration of at least 11 years since the beginning of ISCED level 1, and which is part of a sequence of programmes at ISCED level 3, but is not the last programme in the sequence at this level. Such programmes do not give direct access to any higher ISCED level.</t>
    </r>
  </si>
  <si>
    <t>Description of the data source</t>
  </si>
  <si>
    <t>Name of the survey (national name)</t>
  </si>
  <si>
    <t>Name of the survey (translated into English)</t>
  </si>
  <si>
    <t>Non-coverage (subpopulations not captured by survey). Please briefly indicate which subpopulations are typically outside the scope of the survey (conscripts/military personnel, institutionalised persons, students living in boarding schools, etc.)</t>
  </si>
  <si>
    <t>Is age measured as of 1 January (*see cell comment)?</t>
  </si>
  <si>
    <t>Please provide details of other cases</t>
  </si>
  <si>
    <t xml:space="preserve">Comments are included in some cells to provide explanations; these are identified by a red triangle in the upper right corner of the cell. </t>
  </si>
  <si>
    <t>3. For assistance in completing this file, you can contact your country representative at the LSO Network (Labour and Social Outcomes of Education):</t>
  </si>
  <si>
    <r>
      <rPr>
        <b/>
        <sz val="10"/>
        <color theme="1"/>
        <rFont val="Arial"/>
        <family val="2"/>
      </rPr>
      <t>Upper secondary or post-secondary non-tertiary</t>
    </r>
    <r>
      <rPr>
        <sz val="10"/>
        <color theme="1"/>
        <rFont val="Arial"/>
        <family val="2"/>
      </rPr>
      <t>: Upper secondary or post-secondary non-tertiary education</t>
    </r>
    <r>
      <rPr>
        <sz val="10"/>
        <color theme="1"/>
        <rFont val="Arial"/>
        <family val="2"/>
      </rPr>
      <t xml:space="preserve"> corresponds to ISCED levels 3 and 4.</t>
    </r>
  </si>
  <si>
    <t>Please indicate, in English, the wording of the survey question on participation in formal education (Is M. X a student or a pupil?, etc.)</t>
  </si>
  <si>
    <r>
      <rPr>
        <b/>
        <sz val="10"/>
        <rFont val="Arial"/>
        <family val="2"/>
      </rPr>
      <t>Work-study programmes</t>
    </r>
    <r>
      <rPr>
        <sz val="10"/>
        <rFont val="Arial"/>
        <family val="2"/>
      </rPr>
      <t>: Work-study programmes are formal education/training programmes combining interrelated study and work periods, for which the student/trainee receives pay.</t>
    </r>
  </si>
  <si>
    <t>Value to apply to the denominator for threshold 1 (data below this threshold will not be published and will be replaced by ''c'')</t>
  </si>
  <si>
    <t>Value to apply to the denominator for threshold 2 (data below this threshold will be published and flagged with "r", indicating that caution should be taken in interpreting the data)</t>
  </si>
  <si>
    <t>Threshold value to apply to the numerator for confidentiality purposes</t>
  </si>
  <si>
    <t>Please indicate a different condition (if it applies nationally) to allow for publishing data</t>
  </si>
  <si>
    <t>Purpose of the survey</t>
  </si>
  <si>
    <t>Content of the questionnaire</t>
  </si>
  <si>
    <t>Comments</t>
  </si>
  <si>
    <t>Coding</t>
  </si>
  <si>
    <t>Coding to be used in the questionnaire:
m  = data are not available. 
a   = data are not applicable because the category does not apply.</t>
  </si>
  <si>
    <t xml:space="preserve">The yellow cells must be updated each year. </t>
  </si>
  <si>
    <t>Please update the information in the grey cells (if needed).</t>
  </si>
  <si>
    <r>
      <t xml:space="preserve">Population in thousands: </t>
    </r>
    <r>
      <rPr>
        <sz val="10"/>
        <color theme="1"/>
        <rFont val="Arial"/>
        <family val="2"/>
      </rPr>
      <t>Weighted number of persons in thousands.</t>
    </r>
  </si>
  <si>
    <r>
      <rPr>
        <b/>
        <sz val="10"/>
        <color theme="1"/>
        <rFont val="Arial"/>
        <family val="2"/>
      </rPr>
      <t>Age groups</t>
    </r>
    <r>
      <rPr>
        <sz val="10"/>
        <color theme="1"/>
        <rFont val="Arial"/>
        <family val="2"/>
      </rPr>
      <t xml:space="preserve"> : 15-19, 20-24, 25-29, 18-24. Combined data (total or any aggregated age groups) are not needed. Age should preferably be measured at survey time.</t>
    </r>
  </si>
  <si>
    <t>SURVEY_INSTITUTION</t>
  </si>
  <si>
    <t>SURVEY</t>
  </si>
  <si>
    <t>SURVEY_EN</t>
  </si>
  <si>
    <t>COVERAGE_EXCLUDED</t>
  </si>
  <si>
    <t>SAMPLE_SIZE</t>
  </si>
  <si>
    <t>PUBLICATION_LIMIT</t>
  </si>
  <si>
    <t>RELIABILTY_THRESHOLD</t>
  </si>
  <si>
    <t>CONFIDENTIAL_LIMIT</t>
  </si>
  <si>
    <t>R_SAMPLE_STATUS</t>
  </si>
  <si>
    <t>RELIABILTY_NATIONAL</t>
  </si>
  <si>
    <t>SAMPLE_UNIT</t>
  </si>
  <si>
    <t>SAMPLE_UNIT_PRIMARY</t>
  </si>
  <si>
    <t>AGE_SURVEY</t>
  </si>
  <si>
    <t>AGE_JANUARY</t>
  </si>
  <si>
    <t>AGE_OTHER</t>
  </si>
  <si>
    <t>Sample size for 15-29 year-olds (total of variable "sample", the unit being the person)</t>
  </si>
  <si>
    <t>Argentina</t>
  </si>
  <si>
    <t>Australia</t>
  </si>
  <si>
    <t>Austria</t>
  </si>
  <si>
    <t>Belgium</t>
  </si>
  <si>
    <t>Brazil</t>
  </si>
  <si>
    <t>Canada</t>
  </si>
  <si>
    <t>Chile</t>
  </si>
  <si>
    <t>China</t>
  </si>
  <si>
    <t>Colombia</t>
  </si>
  <si>
    <t>Costa Rica</t>
  </si>
  <si>
    <t>Czech Republic</t>
  </si>
  <si>
    <t>Denmark</t>
  </si>
  <si>
    <t>Estonia</t>
  </si>
  <si>
    <t>Finland</t>
  </si>
  <si>
    <t>France</t>
  </si>
  <si>
    <t>Germany</t>
  </si>
  <si>
    <t>Greece</t>
  </si>
  <si>
    <t>Hungary</t>
  </si>
  <si>
    <t>Iceland</t>
  </si>
  <si>
    <t>India</t>
  </si>
  <si>
    <t>Indonesia</t>
  </si>
  <si>
    <t>Ireland</t>
  </si>
  <si>
    <t>Israel</t>
  </si>
  <si>
    <t>Italy</t>
  </si>
  <si>
    <t>Japan</t>
  </si>
  <si>
    <t>Korea</t>
  </si>
  <si>
    <t>Latvia</t>
  </si>
  <si>
    <t>Lithuania</t>
  </si>
  <si>
    <t>Luxembourg</t>
  </si>
  <si>
    <t>Mexico</t>
  </si>
  <si>
    <t>Netherlands</t>
  </si>
  <si>
    <t>New Zealand</t>
  </si>
  <si>
    <t>Norway</t>
  </si>
  <si>
    <t>Poland</t>
  </si>
  <si>
    <t>Portugal</t>
  </si>
  <si>
    <t>Saudi Arabia</t>
  </si>
  <si>
    <t>Slovak Republic</t>
  </si>
  <si>
    <t>Slovenia</t>
  </si>
  <si>
    <t>South Africa</t>
  </si>
  <si>
    <t>Spain</t>
  </si>
  <si>
    <t>Sweden</t>
  </si>
  <si>
    <t>Switzerland</t>
  </si>
  <si>
    <t>United Kingdom</t>
  </si>
  <si>
    <t>United States</t>
  </si>
  <si>
    <t>Reference Year</t>
  </si>
  <si>
    <t>REF_PERIOD</t>
  </si>
  <si>
    <t>COVERAGE_EXCLUDED_PROP</t>
  </si>
  <si>
    <t>If applicable, please indicate here an estimate of the share of the excluded population among all 15-29 year-olds</t>
  </si>
  <si>
    <t>Unit (e.g. respondents within households)</t>
  </si>
  <si>
    <t>Primary sampling unit (e.g. households)</t>
  </si>
  <si>
    <t>WS_EXISTS</t>
  </si>
  <si>
    <t>EDUCATION_QU</t>
  </si>
  <si>
    <t>EDUCATION_PERIOD</t>
  </si>
  <si>
    <t>The reference period expected is the first quarter (Q1), 1 January to 31 March, of the reference year or the second quarter of the school year. Please indicate the reference period used.</t>
  </si>
  <si>
    <t>SURVEY_DESIGN_REP</t>
  </si>
  <si>
    <t>METADATA_ITEM</t>
  </si>
  <si>
    <t>DESCRIPTION</t>
  </si>
  <si>
    <t>NON_RESPONSE_RATE</t>
  </si>
  <si>
    <t>Non-response rate (for unit)</t>
  </si>
  <si>
    <r>
      <rPr>
        <b/>
        <sz val="10"/>
        <color theme="1"/>
        <rFont val="Arial"/>
        <family val="2"/>
      </rPr>
      <t>School status</t>
    </r>
    <r>
      <rPr>
        <sz val="10"/>
        <color theme="1"/>
        <rFont val="Arial"/>
        <family val="2"/>
      </rPr>
      <t>: The schooling status is understood in terms of Education or/and training currently being received in the regular educational system, which can be during the previous four weeks (including the survey reference week) or a shorter period: in education (E), not in education (NE)</t>
    </r>
  </si>
  <si>
    <r>
      <rPr>
        <b/>
        <sz val="10"/>
        <color theme="1"/>
        <rFont val="Arial"/>
        <family val="2"/>
      </rPr>
      <t>Population sample</t>
    </r>
    <r>
      <rPr>
        <sz val="10"/>
        <color theme="1"/>
        <rFont val="Arial"/>
        <family val="2"/>
      </rPr>
      <t>: True number of interviews (i.e. non-weighted number of persons)</t>
    </r>
  </si>
  <si>
    <t>Country</t>
  </si>
  <si>
    <t>Year</t>
  </si>
  <si>
    <t>Gender</t>
  </si>
  <si>
    <t>Age</t>
  </si>
  <si>
    <t>School status</t>
  </si>
  <si>
    <t>Work study</t>
  </si>
  <si>
    <t>Labour status</t>
  </si>
  <si>
    <t>Population in thousands</t>
  </si>
  <si>
    <t>Population sample</t>
  </si>
  <si>
    <t>Indicator computation</t>
  </si>
  <si>
    <t>https://www.oecd-ilibrary.org/fr/education/oecd-handbook-for-internationally-comparative-education-statistics-2018_9789264304444-en</t>
  </si>
  <si>
    <t>TRANSITION FROM EDUCATION TO WORK AMONG YOUTH AGED 15 TO 29</t>
  </si>
  <si>
    <t>List of valid codes</t>
  </si>
  <si>
    <t/>
  </si>
  <si>
    <t xml:space="preserve"> </t>
  </si>
  <si>
    <t>E</t>
  </si>
  <si>
    <t>U</t>
  </si>
  <si>
    <t>I</t>
  </si>
  <si>
    <t>18-24</t>
  </si>
  <si>
    <t>15-29</t>
  </si>
  <si>
    <t>NE</t>
  </si>
  <si>
    <t>Below</t>
  </si>
  <si>
    <t>Upper</t>
  </si>
  <si>
    <t>Yes</t>
  </si>
  <si>
    <t>No</t>
  </si>
  <si>
    <t>m</t>
  </si>
  <si>
    <t>a</t>
  </si>
  <si>
    <t>In order to get the summary results the following codes have to be used in the respective columns of the "Flat_file" sheet.</t>
  </si>
  <si>
    <t>Select an age group</t>
  </si>
  <si>
    <t>Age group options</t>
  </si>
  <si>
    <t>Percentage of XX year-olds in education/not in education, by work status and gender</t>
  </si>
  <si>
    <t>Total (15-29)</t>
  </si>
  <si>
    <t>Total (18-24)</t>
  </si>
  <si>
    <t>All calculations on this tab will update automatically based on the age group selected</t>
  </si>
  <si>
    <t>4. For assistance in completing this file, you can also contact:</t>
  </si>
  <si>
    <t>Content of this survey by sheet:</t>
  </si>
  <si>
    <t>Cover</t>
  </si>
  <si>
    <t>Provides information to help you navigate and complete this questionnaire.</t>
  </si>
  <si>
    <t>Contact_Info</t>
  </si>
  <si>
    <t>Provides details on the variables and concepts included in this survey.</t>
  </si>
  <si>
    <t>Data_source_Info</t>
  </si>
  <si>
    <r>
      <rPr>
        <b/>
        <sz val="10"/>
        <color theme="1"/>
        <rFont val="Arial"/>
        <family val="2"/>
      </rPr>
      <t>For you to provide or update</t>
    </r>
    <r>
      <rPr>
        <sz val="10"/>
        <color theme="1"/>
        <rFont val="Arial"/>
        <family val="2"/>
      </rPr>
      <t xml:space="preserve"> your contact information. Also provides you with information on your country representative at the Labour and Social Outcomes of Education Network in case you need assistance in completing this survey. </t>
    </r>
  </si>
  <si>
    <r>
      <rPr>
        <b/>
        <sz val="10"/>
        <rFont val="Arial"/>
        <family val="2"/>
      </rPr>
      <t>For you to provide or update</t>
    </r>
    <r>
      <rPr>
        <sz val="10"/>
        <rFont val="Arial"/>
        <family val="2"/>
      </rPr>
      <t xml:space="preserve"> background and contextual information on the national data collection. </t>
    </r>
    <r>
      <rPr>
        <b/>
        <sz val="10"/>
        <rFont val="Arial"/>
        <family val="2"/>
      </rPr>
      <t>Should always be filled in!</t>
    </r>
  </si>
  <si>
    <t>Flat_file</t>
  </si>
  <si>
    <t>Result_summary</t>
  </si>
  <si>
    <t>Main sheet to be completed.</t>
  </si>
  <si>
    <t>Summary_Indicators</t>
  </si>
  <si>
    <t>Information on the computation of indicators based on the data provided in this questionnaire can be found in chapter 7.10 of the OECD Handbook for Internationally Comparative Education Statistics 2018.</t>
  </si>
  <si>
    <t>TRANS data collectoin</t>
  </si>
  <si>
    <t>Questions about the data source and data quality</t>
  </si>
  <si>
    <r>
      <rPr>
        <b/>
        <sz val="10"/>
        <color theme="1"/>
        <rFont val="Arial"/>
        <family val="2"/>
      </rPr>
      <t>Labour market status</t>
    </r>
    <r>
      <rPr>
        <sz val="10"/>
        <rFont val="Arial"/>
        <family val="2"/>
      </rPr>
      <t>: Labour force status, according to ILO recommendations: Employment (E), Unemployment (U), Not in the labour force (I).</t>
    </r>
  </si>
  <si>
    <t>XX year-olds</t>
  </si>
  <si>
    <t>Please indicate if the thresholds you included in cells B23, B24 and B25 refer to weighted or unweighted data (unweighted are preferred)</t>
  </si>
  <si>
    <t>Total (15-24)</t>
  </si>
  <si>
    <t>15-24</t>
  </si>
  <si>
    <t>Total (in education and not in education)</t>
  </si>
  <si>
    <t>Percentage of XX year-olds in education/not in education, by educational attainment, work status and gender</t>
  </si>
  <si>
    <t>Türkiye</t>
  </si>
  <si>
    <t>This questionnaire is designed to collect internationally comparable data on labour force status and participation in formal education or training, by educational attainment, age and gender. We require data describing the schooling and work status of young people aged 15 to 29 and their educational attainment according to ISCED-2011.</t>
  </si>
  <si>
    <t>Contact:</t>
  </si>
  <si>
    <t>OECD LSO Secretariat</t>
  </si>
  <si>
    <t>EDU.LSONetwork@oecd.org</t>
  </si>
  <si>
    <t>Bulgaria</t>
  </si>
  <si>
    <t>Croatia</t>
  </si>
  <si>
    <t>Peru</t>
  </si>
  <si>
    <t>Romania</t>
  </si>
  <si>
    <t>2023 Questionnaire</t>
  </si>
  <si>
    <t>General - Upper secondary or post-secondary non-tertiary</t>
  </si>
  <si>
    <t>Vocational - Upper secondary or post-secondary non-tertiary</t>
  </si>
  <si>
    <t>Upper - general</t>
  </si>
  <si>
    <t>Upper - vocational</t>
  </si>
  <si>
    <r>
      <rPr>
        <b/>
        <sz val="10"/>
        <rFont val="Arial"/>
        <family val="2"/>
      </rPr>
      <t>For you to check whether there are issues with your data once you have completed "Flat_file".</t>
    </r>
    <r>
      <rPr>
        <sz val="10"/>
        <rFont val="Arial"/>
        <family val="2"/>
      </rPr>
      <t xml:space="preserve"> Summary of the data collection automatically generated, based on the values provided in the "Flat_file".</t>
    </r>
  </si>
  <si>
    <r>
      <rPr>
        <b/>
        <sz val="10"/>
        <rFont val="Arial"/>
        <family val="2"/>
      </rPr>
      <t xml:space="preserve">For you to check whether there are issues with your data once you have completed "Flat_file". </t>
    </r>
    <r>
      <rPr>
        <sz val="10"/>
        <rFont val="Arial"/>
        <family val="2"/>
      </rPr>
      <t>Summary of the data collection automatically generated, based on the values provided in the "Flat_file". This sheet provides you with a summary of the results as they may appear in Education at a Glance.</t>
    </r>
  </si>
  <si>
    <r>
      <rPr>
        <b/>
        <sz val="10"/>
        <rFont val="Arial"/>
        <family val="2"/>
      </rPr>
      <t>ISCED-A 2011 (aggregated levels)</t>
    </r>
    <r>
      <rPr>
        <sz val="10"/>
        <rFont val="Arial"/>
        <family val="2"/>
      </rPr>
      <t>: Successfully completed level of education (main groups),</t>
    </r>
    <r>
      <rPr>
        <i/>
        <sz val="10"/>
        <rFont val="Arial"/>
        <family val="2"/>
      </rPr>
      <t xml:space="preserve">
</t>
    </r>
    <r>
      <rPr>
        <sz val="10"/>
        <rFont val="Arial"/>
        <family val="2"/>
      </rPr>
      <t xml:space="preserve">Below upper secondary (000-254, 342, 352);
Upper secondary or post-secondary non-tertiary: </t>
    </r>
    <r>
      <rPr>
        <b/>
        <sz val="10"/>
        <rFont val="Arial"/>
        <family val="2"/>
      </rPr>
      <t>general (343, 344, 443, 444) and vocational (353, 354, 453, 454)</t>
    </r>
    <r>
      <rPr>
        <sz val="10"/>
        <rFont val="Arial"/>
        <family val="2"/>
      </rPr>
      <t>;
Tertiary (540-860).</t>
    </r>
  </si>
  <si>
    <t>New development</t>
  </si>
  <si>
    <t>We have included a new breakdown by programme orientation for upper secondary or post-secondary non-tertiary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</si>
</sst>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F_-;\-* #,##0.00\ _F_-;_-* &quot;-&quot;??\ _F_-;_-@_-"/>
    <numFmt numFmtId="165" formatCode="_-* #,##0.00\ &quot;F&quot;_-;\-* #,##0.00\ &quot;F&quot;_-;_-* &quot;-&quot;??\ &quot;F&quot;_-;_-@_-"/>
    <numFmt numFmtId="166" formatCode="0.0"/>
    <numFmt numFmtId="167" formatCode="\(#\)"/>
  </numFmts>
  <fonts count="59">
    <font>
      <sz val="10"/>
      <color theme="1"/>
      <name val="Arial"/>
      <family val="2"/>
    </font>
    <font>
      <b/>
      <sz val="10"/>
      <color theme="1"/>
      <name val="Arial"/>
      <family val="2"/>
    </font>
    <font>
      <sz val="10"/>
      <color theme="1"/>
      <name val="Arial"/>
      <family val="2"/>
    </font>
    <font>
      <sz val="10"/>
      <name val="Arial"/>
      <family val="2"/>
    </font>
    <font>
      <b/>
      <sz val="11"/>
      <color theme="1"/>
      <name val="Arial"/>
      <family val="2"/>
    </font>
    <font>
      <sz val="11"/>
      <name val="Arial"/>
      <family val="2"/>
    </font>
    <font>
      <sz val="11"/>
      <color theme="1"/>
      <name val="Arial"/>
      <family val="2"/>
    </font>
    <font>
      <sz val="11"/>
      <name val="Calibri"/>
      <family val="2"/>
    </font>
    <font>
      <i/>
      <sz val="11"/>
      <name val="Arial"/>
      <family val="2"/>
    </font>
    <font>
      <b/>
      <sz val="11"/>
      <name val="Arial"/>
      <family val="2"/>
    </font>
    <font>
      <sz val="10"/>
      <color indexed="8"/>
      <name val="MS Sans Serif"/>
      <family val="2"/>
    </font>
    <font>
      <sz val="10"/>
      <color indexed="8"/>
      <name val="Arial"/>
      <family val="2"/>
    </font>
    <font>
      <b/>
      <sz val="8"/>
      <color indexed="8"/>
      <name val="MS Sans Serif"/>
      <family val="2"/>
    </font>
    <font>
      <u/>
      <sz val="8"/>
      <color indexed="12"/>
      <name val="Arial"/>
      <family val="2"/>
    </font>
    <font>
      <sz val="11"/>
      <color theme="1"/>
      <name val="Calibri"/>
      <family val="2"/>
      <scheme val="minor"/>
    </font>
    <font>
      <sz val="10"/>
      <name val="MS Sans Serif"/>
      <family val="2"/>
    </font>
    <font>
      <sz val="9"/>
      <color indexed="81"/>
      <name val="Tahoma"/>
      <family val="2"/>
    </font>
    <font>
      <b/>
      <sz val="9"/>
      <color indexed="81"/>
      <name val="Tahoma"/>
      <family val="2"/>
    </font>
    <font>
      <sz val="11"/>
      <name val="Calibri"/>
      <family val="2"/>
      <scheme val="minor"/>
    </font>
    <font>
      <b/>
      <sz val="16"/>
      <color theme="0"/>
      <name val="Calibri"/>
      <family val="2"/>
      <scheme val="minor"/>
    </font>
    <font>
      <sz val="8"/>
      <name val="Arial"/>
      <family val="2"/>
    </font>
    <font>
      <b/>
      <sz val="11"/>
      <name val="Calibri"/>
      <family val="2"/>
      <scheme val="minor"/>
    </font>
    <font>
      <i/>
      <sz val="8"/>
      <name val="Calibri"/>
      <family val="2"/>
      <scheme val="minor"/>
    </font>
    <font>
      <b/>
      <u/>
      <sz val="8.5"/>
      <color indexed="8"/>
      <name val="MS Sans Serif"/>
      <family val="2"/>
    </font>
    <font>
      <b/>
      <sz val="8.5"/>
      <color indexed="12"/>
      <name val="MS Sans Serif"/>
      <family val="2"/>
    </font>
    <font>
      <b/>
      <sz val="8"/>
      <color indexed="12"/>
      <name val="Arial"/>
      <family val="2"/>
    </font>
    <font>
      <sz val="8.5"/>
      <color indexed="8"/>
      <name val="MS Sans Serif"/>
      <family val="2"/>
    </font>
    <font>
      <sz val="8"/>
      <color indexed="8"/>
      <name val="Arial"/>
      <family val="2"/>
    </font>
    <font>
      <u/>
      <sz val="11"/>
      <color indexed="12"/>
      <name val="Arial"/>
      <family val="2"/>
    </font>
    <font>
      <b/>
      <sz val="10"/>
      <name val="Arial"/>
      <family val="2"/>
    </font>
    <font>
      <b/>
      <sz val="8.5"/>
      <color indexed="8"/>
      <name val="MS Sans Serif"/>
      <family val="2"/>
    </font>
    <font>
      <sz val="11"/>
      <color rgb="FF000000"/>
      <name val="Calibri"/>
      <family val="2"/>
      <charset val="1"/>
    </font>
    <font>
      <b/>
      <u/>
      <sz val="10"/>
      <color indexed="8"/>
      <name val="MS Sans Serif"/>
      <family val="2"/>
    </font>
    <font>
      <sz val="8"/>
      <color indexed="8"/>
      <name val="MS Sans Serif"/>
      <family val="2"/>
    </font>
    <font>
      <sz val="7.5"/>
      <color indexed="8"/>
      <name val="MS Sans Serif"/>
      <family val="2"/>
    </font>
    <font>
      <sz val="8"/>
      <name val="Arial"/>
      <family val="2"/>
      <charset val="1"/>
    </font>
    <font>
      <b/>
      <sz val="8"/>
      <name val="Arial"/>
      <family val="2"/>
    </font>
    <font>
      <b/>
      <sz val="14"/>
      <color theme="1"/>
      <name val="Arial"/>
      <family val="2"/>
    </font>
    <font>
      <u/>
      <sz val="11"/>
      <color theme="10"/>
      <name val="Calibri"/>
      <family val="2"/>
      <scheme val="minor"/>
    </font>
    <font>
      <i/>
      <sz val="10"/>
      <color theme="1"/>
      <name val="Arial"/>
      <family val="2"/>
    </font>
    <font>
      <sz val="8"/>
      <color theme="1"/>
      <name val="Arial"/>
      <family val="2"/>
    </font>
    <font>
      <sz val="10"/>
      <name val="Arial"/>
      <family val="2"/>
    </font>
    <font>
      <sz val="11"/>
      <color indexed="8"/>
      <name val="Calibri"/>
      <family val="2"/>
    </font>
    <font>
      <i/>
      <sz val="10"/>
      <name val="Arial"/>
      <family val="2"/>
    </font>
    <font>
      <sz val="8"/>
      <color rgb="FF000000"/>
      <name val="Tahoma"/>
      <family val="2"/>
    </font>
    <font>
      <sz val="11"/>
      <name val="Times New Roman"/>
      <family val="1"/>
    </font>
    <font>
      <sz val="9"/>
      <name val="Calibri"/>
      <family val="2"/>
      <scheme val="minor"/>
    </font>
    <font>
      <b/>
      <sz val="12"/>
      <color rgb="FFFF0000"/>
      <name val="Times New Roman"/>
      <family val="1"/>
    </font>
    <font>
      <sz val="8"/>
      <color indexed="10"/>
      <name val="Times New Roman"/>
      <family val="1"/>
    </font>
    <font>
      <b/>
      <strike/>
      <sz val="11"/>
      <color rgb="FFFF0000"/>
      <name val="Cambria"/>
      <family val="1"/>
    </font>
    <font>
      <u/>
      <sz val="10"/>
      <color theme="10"/>
      <name val="Arial"/>
      <family val="2"/>
    </font>
    <font>
      <b/>
      <sz val="8"/>
      <color rgb="FFFF0000"/>
      <name val="Arial"/>
      <family val="2"/>
    </font>
    <font>
      <sz val="8"/>
      <color theme="0"/>
      <name val="Arial"/>
      <family val="2"/>
    </font>
    <font>
      <b/>
      <sz val="14"/>
      <name val="Arial"/>
      <family val="2"/>
    </font>
    <font>
      <i/>
      <sz val="8"/>
      <name val="FrnkGothITC Bk BT"/>
      <family val="2"/>
    </font>
    <font>
      <sz val="10"/>
      <color rgb="FFFF0000"/>
      <name val="Arial"/>
      <family val="2"/>
    </font>
    <font>
      <b/>
      <u/>
      <sz val="10"/>
      <name val="Arial"/>
      <family val="2"/>
    </font>
    <font>
      <b/>
      <sz val="11"/>
      <color rgb="FFFF0000"/>
      <name val="Arial"/>
      <family val="2"/>
    </font>
    <font>
      <sz val="14"/>
      <name val="Arial"/>
      <family val="2"/>
    </font>
  </fonts>
  <fills count="2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
      <patternFill patternType="lightDown">
        <fgColor theme="1"/>
        <bgColor theme="0"/>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theme="0" tint="-4.9989318521683403E-2"/>
        <bgColor indexed="64"/>
      </patternFill>
    </fill>
    <fill>
      <patternFill patternType="solid">
        <fgColor theme="0" tint="-0.14996795556505021"/>
        <bgColor indexed="64"/>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rgb="FFC0C0C0"/>
        <bgColor rgb="FFCCCCFF"/>
      </patternFill>
    </fill>
    <fill>
      <patternFill patternType="solid">
        <fgColor theme="6" tint="0.39997558519241921"/>
        <bgColor indexed="0"/>
      </patternFill>
    </fill>
    <fill>
      <patternFill patternType="solid">
        <fgColor theme="9" tint="0.39997558519241921"/>
        <bgColor indexed="0"/>
      </patternFill>
    </fill>
    <fill>
      <patternFill patternType="solid">
        <fgColor theme="4" tint="0.59999389629810485"/>
        <bgColor indexed="0"/>
      </patternFill>
    </fill>
    <fill>
      <patternFill patternType="solid">
        <fgColor theme="0" tint="-0.14999847407452621"/>
        <bgColor indexed="0"/>
      </patternFill>
    </fill>
    <fill>
      <patternFill patternType="solid">
        <fgColor rgb="FFFFFF9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0"/>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s>
  <cellStyleXfs count="111">
    <xf numFmtId="0" fontId="0" fillId="0" borderId="0"/>
    <xf numFmtId="0" fontId="3" fillId="0" borderId="0"/>
    <xf numFmtId="0" fontId="3" fillId="0" borderId="0"/>
    <xf numFmtId="164" fontId="3" fillId="0" borderId="0" applyFont="0" applyFill="0" applyBorder="0" applyAlignment="0" applyProtection="0"/>
    <xf numFmtId="0" fontId="11" fillId="7" borderId="0">
      <alignment horizontal="left"/>
    </xf>
    <xf numFmtId="0" fontId="12" fillId="9" borderId="0">
      <alignment horizontal="right" vertical="top" wrapText="1"/>
    </xf>
    <xf numFmtId="0" fontId="13" fillId="0" borderId="0" applyNumberFormat="0" applyFill="0" applyBorder="0" applyAlignment="0" applyProtection="0">
      <alignment vertical="top"/>
      <protection locked="0"/>
    </xf>
    <xf numFmtId="165" fontId="3" fillId="0" borderId="0" applyFont="0" applyFill="0" applyBorder="0" applyAlignment="0" applyProtection="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15" fillId="0" borderId="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0" fontId="3" fillId="0" borderId="0" applyNumberFormat="0" applyFill="0" applyBorder="0" applyAlignment="0" applyProtection="0"/>
    <xf numFmtId="0" fontId="3" fillId="0" borderId="0"/>
    <xf numFmtId="0" fontId="20" fillId="0" borderId="1"/>
    <xf numFmtId="0" fontId="2" fillId="0" borderId="0"/>
    <xf numFmtId="0" fontId="20" fillId="12" borderId="24"/>
    <xf numFmtId="0" fontId="12" fillId="13" borderId="27">
      <alignment horizontal="right" vertical="top" wrapText="1"/>
    </xf>
    <xf numFmtId="0" fontId="20" fillId="0" borderId="1"/>
    <xf numFmtId="0" fontId="20" fillId="0" borderId="24"/>
    <xf numFmtId="0" fontId="20" fillId="0" borderId="1"/>
    <xf numFmtId="0" fontId="20" fillId="0" borderId="1"/>
    <xf numFmtId="0" fontId="20" fillId="0" borderId="1"/>
    <xf numFmtId="0" fontId="20" fillId="0" borderId="24"/>
    <xf numFmtId="0" fontId="23" fillId="7" borderId="0">
      <alignment horizontal="center"/>
    </xf>
    <xf numFmtId="0" fontId="24" fillId="7" borderId="0">
      <alignment horizontal="center" vertical="center"/>
    </xf>
    <xf numFmtId="0" fontId="3" fillId="14" borderId="0">
      <alignment horizontal="center" wrapText="1"/>
    </xf>
    <xf numFmtId="0" fontId="25" fillId="7" borderId="0">
      <alignment horizontal="center"/>
    </xf>
    <xf numFmtId="0" fontId="10" fillId="8" borderId="24" applyBorder="0">
      <protection locked="0"/>
    </xf>
    <xf numFmtId="0" fontId="10" fillId="8" borderId="24" applyBorder="0">
      <protection locked="0"/>
    </xf>
    <xf numFmtId="0" fontId="10" fillId="8" borderId="24" applyBorder="0">
      <protection locked="0"/>
    </xf>
    <xf numFmtId="0" fontId="10" fillId="8" borderId="24" applyBorder="0">
      <protection locked="0"/>
    </xf>
    <xf numFmtId="0" fontId="10" fillId="8" borderId="24" applyBorder="0">
      <protection locked="0"/>
    </xf>
    <xf numFmtId="0" fontId="26" fillId="8" borderId="24">
      <protection locked="0"/>
    </xf>
    <xf numFmtId="0" fontId="3" fillId="8" borderId="1"/>
    <xf numFmtId="0" fontId="3" fillId="8" borderId="1"/>
    <xf numFmtId="0" fontId="3" fillId="7" borderId="0"/>
    <xf numFmtId="0" fontId="27" fillId="7" borderId="1">
      <alignment horizontal="left"/>
    </xf>
    <xf numFmtId="0" fontId="27" fillId="7" borderId="1">
      <alignment horizontal="left"/>
    </xf>
    <xf numFmtId="0" fontId="12" fillId="9" borderId="0">
      <alignment horizontal="right" vertical="top" wrapText="1"/>
    </xf>
    <xf numFmtId="0" fontId="12" fillId="9" borderId="0">
      <alignment horizontal="right" vertical="top" wrapText="1"/>
    </xf>
    <xf numFmtId="0" fontId="12" fillId="9" borderId="0">
      <alignment horizontal="right" vertical="top" wrapText="1"/>
    </xf>
    <xf numFmtId="0" fontId="12" fillId="9" borderId="0">
      <alignment horizontal="right" vertical="top" textRotation="90" wrapText="1"/>
    </xf>
    <xf numFmtId="0" fontId="28" fillId="0" borderId="0" applyNumberFormat="0" applyFill="0" applyBorder="0" applyAlignment="0" applyProtection="0">
      <alignment vertical="top"/>
      <protection locked="0"/>
    </xf>
    <xf numFmtId="0" fontId="29" fillId="14" borderId="0">
      <alignment horizontal="center"/>
    </xf>
    <xf numFmtId="0" fontId="29" fillId="14" borderId="0">
      <alignment horizontal="center"/>
    </xf>
    <xf numFmtId="0" fontId="3" fillId="7" borderId="1">
      <alignment horizontal="centerContinuous" wrapText="1"/>
    </xf>
    <xf numFmtId="0" fontId="3" fillId="7" borderId="1">
      <alignment horizontal="centerContinuous" wrapText="1"/>
    </xf>
    <xf numFmtId="0" fontId="30" fillId="15" borderId="0">
      <alignment horizontal="center" wrapText="1"/>
    </xf>
    <xf numFmtId="0" fontId="3" fillId="7" borderId="1">
      <alignment horizontal="centerContinuous" wrapText="1"/>
    </xf>
    <xf numFmtId="0" fontId="20" fillId="7" borderId="6">
      <alignment wrapText="1"/>
    </xf>
    <xf numFmtId="0" fontId="20" fillId="7" borderId="6">
      <alignment wrapText="1"/>
    </xf>
    <xf numFmtId="0" fontId="20" fillId="7" borderId="14"/>
    <xf numFmtId="0" fontId="20" fillId="7" borderId="2"/>
    <xf numFmtId="0" fontId="20" fillId="7" borderId="2"/>
    <xf numFmtId="0" fontId="20" fillId="7" borderId="3">
      <alignment horizontal="center" wrapText="1"/>
    </xf>
    <xf numFmtId="0" fontId="20" fillId="7" borderId="3">
      <alignment horizontal="center" wrapText="1"/>
    </xf>
    <xf numFmtId="0" fontId="20" fillId="7" borderId="3">
      <alignment horizontal="center" wrapText="1"/>
    </xf>
    <xf numFmtId="0" fontId="20" fillId="7" borderId="3">
      <alignment horizontal="center" wrapText="1"/>
    </xf>
    <xf numFmtId="0" fontId="3" fillId="0" borderId="0"/>
    <xf numFmtId="0" fontId="14" fillId="0" borderId="0"/>
    <xf numFmtId="0" fontId="14" fillId="0" borderId="0"/>
    <xf numFmtId="0" fontId="3" fillId="0" borderId="0"/>
    <xf numFmtId="0" fontId="14" fillId="0" borderId="0"/>
    <xf numFmtId="0" fontId="14" fillId="0" borderId="0"/>
    <xf numFmtId="0" fontId="31" fillId="0" borderId="0"/>
    <xf numFmtId="0" fontId="31" fillId="0" borderId="0"/>
    <xf numFmtId="0" fontId="20" fillId="7" borderId="1"/>
    <xf numFmtId="0" fontId="20" fillId="7" borderId="1"/>
    <xf numFmtId="0" fontId="20" fillId="7" borderId="1"/>
    <xf numFmtId="0" fontId="20" fillId="7" borderId="1"/>
    <xf numFmtId="0" fontId="20" fillId="7" borderId="1">
      <alignment wrapText="1"/>
    </xf>
    <xf numFmtId="0" fontId="24" fillId="7" borderId="0">
      <alignment horizontal="right"/>
    </xf>
    <xf numFmtId="0" fontId="32" fillId="15" borderId="0">
      <alignment horizontal="center"/>
    </xf>
    <xf numFmtId="0" fontId="33" fillId="9" borderId="1">
      <alignment horizontal="left" vertical="top" wrapText="1"/>
    </xf>
    <xf numFmtId="0" fontId="33" fillId="9" borderId="1">
      <alignment horizontal="left" vertical="top" wrapText="1"/>
    </xf>
    <xf numFmtId="0" fontId="34" fillId="9" borderId="5">
      <alignment horizontal="left" vertical="top" wrapText="1"/>
    </xf>
    <xf numFmtId="0" fontId="34" fillId="9" borderId="5">
      <alignment horizontal="left" vertical="top" wrapText="1"/>
    </xf>
    <xf numFmtId="0" fontId="34" fillId="9" borderId="5">
      <alignment horizontal="left" vertical="top" wrapText="1"/>
    </xf>
    <xf numFmtId="0" fontId="33" fillId="9" borderId="7">
      <alignment horizontal="left" vertical="top" wrapText="1"/>
    </xf>
    <xf numFmtId="0" fontId="33" fillId="9" borderId="7">
      <alignment horizontal="left" vertical="top" wrapText="1"/>
    </xf>
    <xf numFmtId="0" fontId="33" fillId="9" borderId="5">
      <alignment horizontal="left" vertical="top"/>
    </xf>
    <xf numFmtId="0" fontId="33" fillId="9" borderId="5">
      <alignment horizontal="left" vertical="top"/>
    </xf>
    <xf numFmtId="0" fontId="33" fillId="9" borderId="5">
      <alignment horizontal="left" vertical="top"/>
    </xf>
    <xf numFmtId="0" fontId="3" fillId="0" borderId="0"/>
    <xf numFmtId="0" fontId="35" fillId="16" borderId="1"/>
    <xf numFmtId="0" fontId="35" fillId="16" borderId="1"/>
    <xf numFmtId="0" fontId="35" fillId="16" borderId="1"/>
    <xf numFmtId="0" fontId="35" fillId="16" borderId="1"/>
    <xf numFmtId="0" fontId="23" fillId="7" borderId="0">
      <alignment horizontal="center"/>
    </xf>
    <xf numFmtId="0" fontId="36" fillId="7" borderId="0"/>
    <xf numFmtId="0" fontId="38" fillId="0" borderId="0" applyNumberFormat="0" applyFill="0" applyBorder="0" applyAlignment="0" applyProtection="0"/>
    <xf numFmtId="0" fontId="41" fillId="0" borderId="0"/>
    <xf numFmtId="0" fontId="11" fillId="0" borderId="0"/>
    <xf numFmtId="0" fontId="3" fillId="0" borderId="0"/>
    <xf numFmtId="0" fontId="3" fillId="0" borderId="0"/>
    <xf numFmtId="0" fontId="54" fillId="0" borderId="0">
      <alignment horizontal="left" vertical="center" wrapText="1"/>
    </xf>
    <xf numFmtId="0" fontId="3" fillId="0" borderId="0"/>
  </cellStyleXfs>
  <cellXfs count="329">
    <xf numFmtId="0" fontId="0" fillId="0" borderId="0" xfId="0"/>
    <xf numFmtId="0" fontId="5" fillId="0" borderId="0" xfId="1" applyFont="1"/>
    <xf numFmtId="0" fontId="7" fillId="0" borderId="0" xfId="1" applyFont="1"/>
    <xf numFmtId="0" fontId="9" fillId="0" borderId="0" xfId="2" applyFont="1" applyAlignment="1">
      <alignment horizontal="center"/>
    </xf>
    <xf numFmtId="0" fontId="9" fillId="0" borderId="0" xfId="2" applyFont="1" applyFill="1" applyAlignment="1">
      <alignment horizontal="center"/>
    </xf>
    <xf numFmtId="0" fontId="7" fillId="0" borderId="0" xfId="1" applyFont="1" applyFill="1"/>
    <xf numFmtId="0" fontId="8" fillId="0" borderId="0" xfId="1" applyFont="1"/>
    <xf numFmtId="0" fontId="19" fillId="10" borderId="0" xfId="8" applyFont="1" applyFill="1" applyAlignment="1" applyProtection="1">
      <alignment vertical="center"/>
    </xf>
    <xf numFmtId="0" fontId="19" fillId="10" borderId="0" xfId="8" applyFont="1" applyFill="1" applyAlignment="1" applyProtection="1">
      <alignment horizontal="left" vertical="center"/>
    </xf>
    <xf numFmtId="0" fontId="18" fillId="11" borderId="25" xfId="27" applyFont="1" applyFill="1" applyBorder="1" applyAlignment="1" applyProtection="1">
      <alignment horizontal="left" vertical="center" wrapText="1"/>
    </xf>
    <xf numFmtId="0" fontId="22" fillId="10" borderId="0" xfId="8" applyFont="1" applyFill="1" applyAlignment="1" applyProtection="1">
      <alignment vertical="center"/>
    </xf>
    <xf numFmtId="0" fontId="22" fillId="10" borderId="0" xfId="8" applyFont="1" applyFill="1" applyAlignment="1" applyProtection="1">
      <alignment horizontal="right" vertical="center"/>
    </xf>
    <xf numFmtId="14" fontId="22" fillId="10" borderId="0" xfId="8" applyNumberFormat="1" applyFont="1" applyFill="1" applyAlignment="1" applyProtection="1">
      <alignment vertical="center"/>
    </xf>
    <xf numFmtId="0" fontId="22" fillId="10" borderId="0" xfId="8" applyFont="1" applyFill="1" applyAlignment="1" applyProtection="1">
      <alignment horizontal="left" vertical="center"/>
    </xf>
    <xf numFmtId="0" fontId="0" fillId="10" borderId="0" xfId="0" applyFill="1"/>
    <xf numFmtId="0" fontId="1" fillId="10" borderId="0" xfId="0" applyFont="1" applyFill="1"/>
    <xf numFmtId="0" fontId="0" fillId="3" borderId="8" xfId="0" applyFill="1" applyBorder="1"/>
    <xf numFmtId="0" fontId="4" fillId="10" borderId="0" xfId="1" applyFont="1" applyFill="1" applyAlignment="1">
      <alignment horizontal="center"/>
    </xf>
    <xf numFmtId="0" fontId="6" fillId="10" borderId="0" xfId="1" applyFont="1" applyFill="1" applyAlignment="1">
      <alignment horizontal="center"/>
    </xf>
    <xf numFmtId="0" fontId="0" fillId="4" borderId="0" xfId="0" applyFill="1"/>
    <xf numFmtId="0" fontId="0" fillId="4" borderId="9" xfId="0" applyFill="1" applyBorder="1"/>
    <xf numFmtId="0" fontId="0" fillId="4" borderId="21" xfId="0" applyFill="1" applyBorder="1"/>
    <xf numFmtId="0" fontId="0" fillId="4" borderId="31" xfId="0" applyFill="1" applyBorder="1"/>
    <xf numFmtId="0" fontId="0" fillId="4" borderId="15" xfId="0" applyFill="1" applyBorder="1"/>
    <xf numFmtId="0" fontId="0" fillId="4" borderId="0" xfId="0" applyFill="1" applyBorder="1"/>
    <xf numFmtId="0" fontId="0" fillId="4" borderId="32" xfId="0" applyFill="1" applyBorder="1"/>
    <xf numFmtId="0" fontId="0" fillId="4" borderId="33" xfId="0" applyFill="1" applyBorder="1"/>
    <xf numFmtId="0" fontId="0" fillId="4" borderId="23" xfId="0" applyFill="1" applyBorder="1"/>
    <xf numFmtId="0" fontId="0" fillId="4" borderId="34" xfId="0" applyFill="1" applyBorder="1"/>
    <xf numFmtId="0" fontId="0" fillId="2" borderId="21" xfId="0" applyFill="1" applyBorder="1"/>
    <xf numFmtId="0" fontId="0" fillId="2" borderId="31" xfId="0" applyFill="1" applyBorder="1"/>
    <xf numFmtId="0" fontId="0" fillId="2" borderId="0" xfId="0" applyFill="1" applyBorder="1"/>
    <xf numFmtId="0" fontId="0" fillId="2" borderId="32" xfId="0" applyFill="1" applyBorder="1"/>
    <xf numFmtId="0" fontId="0" fillId="2" borderId="23" xfId="0" applyFill="1" applyBorder="1"/>
    <xf numFmtId="0" fontId="0" fillId="4" borderId="18" xfId="0" applyFill="1" applyBorder="1"/>
    <xf numFmtId="0" fontId="0" fillId="4" borderId="35" xfId="0" applyFill="1" applyBorder="1"/>
    <xf numFmtId="0" fontId="0" fillId="4" borderId="0" xfId="0" applyFill="1" applyAlignment="1">
      <alignment horizontal="left"/>
    </xf>
    <xf numFmtId="0" fontId="0" fillId="4" borderId="0" xfId="0" applyFill="1" applyAlignment="1">
      <alignment horizontal="center"/>
    </xf>
    <xf numFmtId="0" fontId="0" fillId="4" borderId="0" xfId="0" applyFill="1" applyBorder="1" applyAlignment="1">
      <alignment vertical="top"/>
    </xf>
    <xf numFmtId="0" fontId="40" fillId="4" borderId="0" xfId="0" applyFont="1" applyFill="1" applyBorder="1"/>
    <xf numFmtId="0" fontId="3" fillId="4" borderId="0" xfId="0" applyFont="1" applyFill="1" applyBorder="1" applyAlignment="1">
      <alignment vertical="top"/>
    </xf>
    <xf numFmtId="0" fontId="39" fillId="4"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39" fillId="4" borderId="0" xfId="0" applyFont="1" applyFill="1" applyBorder="1" applyAlignment="1">
      <alignment horizontal="left" vertical="top" wrapText="1"/>
    </xf>
    <xf numFmtId="0" fontId="45" fillId="0" borderId="0" xfId="105" applyFont="1"/>
    <xf numFmtId="0" fontId="45" fillId="0" borderId="0" xfId="105" applyFont="1" applyFill="1"/>
    <xf numFmtId="0" fontId="0" fillId="0" borderId="9" xfId="0" applyBorder="1"/>
    <xf numFmtId="0" fontId="0" fillId="0" borderId="15" xfId="0" applyBorder="1"/>
    <xf numFmtId="0" fontId="0" fillId="0" borderId="43" xfId="0" applyBorder="1"/>
    <xf numFmtId="0" fontId="0" fillId="0" borderId="33" xfId="0" applyBorder="1"/>
    <xf numFmtId="0" fontId="36" fillId="4" borderId="5" xfId="0" applyFont="1" applyFill="1" applyBorder="1" applyAlignment="1">
      <alignment horizontal="center" vertical="center" wrapText="1"/>
    </xf>
    <xf numFmtId="0" fontId="3" fillId="2" borderId="0" xfId="0" applyFont="1" applyFill="1" applyBorder="1"/>
    <xf numFmtId="0" fontId="37" fillId="2" borderId="0" xfId="0" applyFont="1" applyFill="1" applyBorder="1" applyAlignment="1">
      <alignment vertical="top"/>
    </xf>
    <xf numFmtId="0" fontId="4" fillId="4" borderId="18" xfId="0" quotePrefix="1" applyFont="1" applyFill="1" applyBorder="1" applyAlignment="1">
      <alignment horizontal="left" vertical="top"/>
    </xf>
    <xf numFmtId="0" fontId="0" fillId="4" borderId="59" xfId="0" applyFill="1" applyBorder="1"/>
    <xf numFmtId="0" fontId="0" fillId="4" borderId="35" xfId="0" applyFill="1" applyBorder="1" applyAlignment="1">
      <alignment vertical="top"/>
    </xf>
    <xf numFmtId="0" fontId="0" fillId="4" borderId="59" xfId="0" applyFill="1" applyBorder="1" applyAlignment="1">
      <alignment horizontal="left"/>
    </xf>
    <xf numFmtId="0" fontId="9" fillId="21" borderId="1" xfId="1" applyFont="1" applyFill="1" applyBorder="1" applyAlignment="1">
      <alignment horizontal="center" wrapText="1"/>
    </xf>
    <xf numFmtId="0" fontId="0" fillId="4" borderId="0" xfId="0" applyFill="1" applyAlignment="1">
      <alignment vertical="top"/>
    </xf>
    <xf numFmtId="0" fontId="0" fillId="6" borderId="0" xfId="0" applyFill="1"/>
    <xf numFmtId="0" fontId="20" fillId="6" borderId="15" xfId="0" applyFont="1" applyFill="1" applyBorder="1"/>
    <xf numFmtId="0" fontId="5" fillId="21" borderId="1" xfId="105" applyFont="1" applyFill="1" applyBorder="1" applyAlignment="1">
      <alignment horizontal="center" vertical="center" wrapText="1"/>
    </xf>
    <xf numFmtId="0" fontId="9" fillId="0" borderId="0" xfId="2" applyFont="1" applyFill="1" applyAlignment="1">
      <alignment horizontal="center" vertical="center"/>
    </xf>
    <xf numFmtId="0" fontId="47" fillId="0" borderId="0" xfId="105" applyFont="1" applyFill="1" applyAlignment="1">
      <alignment horizontal="center" vertical="center" wrapText="1"/>
    </xf>
    <xf numFmtId="0" fontId="48" fillId="0" borderId="0" xfId="105" applyNumberFormat="1" applyFont="1" applyFill="1" applyAlignment="1">
      <alignment vertical="top"/>
    </xf>
    <xf numFmtId="0" fontId="5" fillId="2" borderId="1" xfId="105" applyFont="1" applyFill="1" applyBorder="1" applyAlignment="1">
      <alignment horizontal="center" vertical="center" wrapText="1"/>
    </xf>
    <xf numFmtId="0" fontId="45" fillId="0" borderId="0" xfId="0" applyFont="1"/>
    <xf numFmtId="0" fontId="45" fillId="0" borderId="0" xfId="0" applyFont="1" applyFill="1"/>
    <xf numFmtId="0" fontId="5" fillId="0" borderId="0" xfId="1" applyFont="1" applyFill="1" applyBorder="1"/>
    <xf numFmtId="0" fontId="5" fillId="0" borderId="0" xfId="1" applyFont="1" applyFill="1"/>
    <xf numFmtId="0" fontId="9" fillId="2" borderId="1" xfId="105" applyFont="1" applyFill="1" applyBorder="1" applyAlignment="1">
      <alignment horizontal="center" vertical="center" wrapText="1"/>
    </xf>
    <xf numFmtId="0" fontId="49" fillId="2" borderId="1" xfId="105" applyFont="1" applyFill="1" applyBorder="1" applyAlignment="1">
      <alignment horizontal="center" vertical="center" wrapText="1"/>
    </xf>
    <xf numFmtId="0" fontId="3" fillId="6" borderId="0" xfId="0" applyFont="1" applyFill="1" applyBorder="1" applyAlignment="1">
      <alignment horizontal="left" vertical="center"/>
    </xf>
    <xf numFmtId="0" fontId="7" fillId="6" borderId="0" xfId="1" applyFont="1" applyFill="1"/>
    <xf numFmtId="1" fontId="46" fillId="6" borderId="1" xfId="0" applyNumberFormat="1" applyFont="1" applyFill="1" applyBorder="1" applyAlignment="1">
      <alignment horizontal="left" vertical="top"/>
    </xf>
    <xf numFmtId="0" fontId="3" fillId="6" borderId="1" xfId="105" applyFont="1" applyFill="1" applyBorder="1"/>
    <xf numFmtId="0" fontId="3" fillId="6" borderId="0" xfId="105" applyNumberFormat="1" applyFont="1" applyFill="1"/>
    <xf numFmtId="0" fontId="3" fillId="6" borderId="0" xfId="105" applyFont="1" applyFill="1"/>
    <xf numFmtId="0" fontId="5" fillId="0" borderId="0" xfId="105" applyFont="1"/>
    <xf numFmtId="49" fontId="41" fillId="6" borderId="0" xfId="105" applyNumberFormat="1" applyFill="1"/>
    <xf numFmtId="0" fontId="8" fillId="21" borderId="1" xfId="105" applyFont="1" applyFill="1" applyBorder="1" applyAlignment="1">
      <alignment horizontal="center" vertical="center" wrapText="1"/>
    </xf>
    <xf numFmtId="0" fontId="36" fillId="0" borderId="0" xfId="0" applyFont="1" applyFill="1" applyAlignment="1"/>
    <xf numFmtId="14" fontId="40" fillId="2" borderId="32" xfId="73" applyNumberFormat="1" applyFont="1" applyFill="1" applyBorder="1"/>
    <xf numFmtId="0" fontId="0" fillId="0" borderId="1" xfId="0" applyBorder="1"/>
    <xf numFmtId="0" fontId="0" fillId="4" borderId="33" xfId="0" applyFill="1" applyBorder="1" applyAlignment="1">
      <alignment horizontal="left"/>
    </xf>
    <xf numFmtId="0" fontId="36" fillId="0" borderId="0" xfId="0" applyNumberFormat="1" applyFont="1" applyFill="1" applyBorder="1" applyAlignment="1" applyProtection="1">
      <alignment horizontal="center" vertical="center" wrapText="1"/>
      <protection locked="0"/>
    </xf>
    <xf numFmtId="0" fontId="0" fillId="0" borderId="36" xfId="0" applyBorder="1"/>
    <xf numFmtId="167" fontId="52" fillId="22" borderId="46" xfId="0" applyNumberFormat="1" applyFont="1" applyFill="1" applyBorder="1" applyAlignment="1">
      <alignment horizontal="center" vertical="center" wrapText="1"/>
    </xf>
    <xf numFmtId="167" fontId="52" fillId="22" borderId="1" xfId="0" applyNumberFormat="1" applyFont="1" applyFill="1" applyBorder="1" applyAlignment="1">
      <alignment horizontal="center" vertical="center" wrapText="1"/>
    </xf>
    <xf numFmtId="167" fontId="52" fillId="4" borderId="42" xfId="0" applyNumberFormat="1" applyFont="1" applyFill="1" applyBorder="1" applyAlignment="1">
      <alignment horizontal="center" vertical="center" wrapText="1"/>
    </xf>
    <xf numFmtId="167" fontId="52" fillId="4" borderId="52" xfId="0" applyNumberFormat="1" applyFont="1" applyFill="1" applyBorder="1" applyAlignment="1">
      <alignment horizontal="center" vertical="center" wrapText="1"/>
    </xf>
    <xf numFmtId="166" fontId="20" fillId="24" borderId="42" xfId="107" applyNumberFormat="1" applyFont="1" applyFill="1" applyBorder="1" applyAlignment="1">
      <alignment horizontal="right"/>
    </xf>
    <xf numFmtId="166" fontId="20" fillId="24" borderId="47" xfId="107" applyNumberFormat="1" applyFont="1" applyFill="1" applyBorder="1" applyAlignment="1">
      <alignment horizontal="right"/>
    </xf>
    <xf numFmtId="166" fontId="20" fillId="24" borderId="44" xfId="107" applyNumberFormat="1" applyFont="1" applyFill="1" applyBorder="1" applyAlignment="1">
      <alignment horizontal="right"/>
    </xf>
    <xf numFmtId="166" fontId="20" fillId="24" borderId="61" xfId="107" applyNumberFormat="1" applyFont="1" applyFill="1" applyBorder="1" applyAlignment="1">
      <alignment horizontal="right"/>
    </xf>
    <xf numFmtId="166" fontId="20" fillId="24" borderId="48" xfId="107" applyNumberFormat="1" applyFont="1" applyFill="1" applyBorder="1" applyAlignment="1">
      <alignment horizontal="right"/>
    </xf>
    <xf numFmtId="0" fontId="3" fillId="6" borderId="1" xfId="0" applyNumberFormat="1" applyFont="1" applyFill="1" applyBorder="1" applyAlignment="1" applyProtection="1">
      <alignment horizontal="center" vertical="center"/>
      <protection locked="0"/>
    </xf>
    <xf numFmtId="0" fontId="51"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center" vertical="center"/>
      <protection locked="0"/>
    </xf>
    <xf numFmtId="0" fontId="0" fillId="0" borderId="0" xfId="0" applyFill="1"/>
    <xf numFmtId="0" fontId="20" fillId="0" borderId="0" xfId="0" applyNumberFormat="1" applyFont="1" applyFill="1" applyBorder="1" applyAlignment="1" applyProtection="1">
      <alignment horizontal="left" vertical="center"/>
      <protection locked="0"/>
    </xf>
    <xf numFmtId="0" fontId="2" fillId="8" borderId="64" xfId="73" applyFont="1" applyFill="1" applyBorder="1" applyAlignment="1">
      <alignment vertical="top"/>
    </xf>
    <xf numFmtId="0" fontId="3" fillId="0" borderId="64" xfId="1" applyFont="1" applyBorder="1" applyAlignment="1">
      <alignment vertical="top" wrapText="1"/>
    </xf>
    <xf numFmtId="0" fontId="37" fillId="4" borderId="0" xfId="0" applyFont="1" applyFill="1"/>
    <xf numFmtId="0" fontId="0" fillId="4" borderId="1" xfId="0" applyFill="1" applyBorder="1" applyAlignment="1">
      <alignment horizontal="left" vertical="top" wrapText="1"/>
    </xf>
    <xf numFmtId="0" fontId="0" fillId="4" borderId="1" xfId="0" applyFill="1" applyBorder="1" applyAlignment="1">
      <alignment horizontal="left" wrapText="1"/>
    </xf>
    <xf numFmtId="0" fontId="3" fillId="4" borderId="1" xfId="0" applyFont="1" applyFill="1" applyBorder="1" applyAlignment="1">
      <alignment horizontal="left" vertical="top" wrapText="1"/>
    </xf>
    <xf numFmtId="0" fontId="1" fillId="4" borderId="68" xfId="0" applyFont="1" applyFill="1" applyBorder="1"/>
    <xf numFmtId="0" fontId="0" fillId="4" borderId="14" xfId="0" applyFill="1" applyBorder="1"/>
    <xf numFmtId="0" fontId="0" fillId="4" borderId="3" xfId="0" applyFill="1" applyBorder="1" applyAlignment="1">
      <alignment horizontal="left" wrapText="1"/>
    </xf>
    <xf numFmtId="0" fontId="53" fillId="0" borderId="0" xfId="1" applyFont="1"/>
    <xf numFmtId="0" fontId="9" fillId="21" borderId="1" xfId="2" applyFont="1" applyFill="1" applyBorder="1" applyAlignment="1"/>
    <xf numFmtId="0" fontId="9" fillId="2" borderId="1" xfId="2" applyFont="1" applyFill="1" applyBorder="1" applyAlignment="1">
      <alignment horizontal="left"/>
    </xf>
    <xf numFmtId="0" fontId="3" fillId="4" borderId="1" xfId="0" applyFont="1" applyFill="1" applyBorder="1" applyAlignment="1">
      <alignment horizontal="left" wrapText="1"/>
    </xf>
    <xf numFmtId="0" fontId="0" fillId="0" borderId="15" xfId="0" applyFill="1" applyBorder="1"/>
    <xf numFmtId="0" fontId="36" fillId="4" borderId="5" xfId="0" applyFont="1" applyFill="1" applyBorder="1" applyAlignment="1">
      <alignment horizontal="center" vertical="center" wrapText="1"/>
    </xf>
    <xf numFmtId="166" fontId="20" fillId="4" borderId="0" xfId="107" applyNumberFormat="1" applyFont="1" applyFill="1" applyBorder="1" applyAlignment="1">
      <alignment horizontal="right"/>
    </xf>
    <xf numFmtId="167" fontId="52" fillId="22" borderId="7" xfId="0" applyNumberFormat="1" applyFont="1" applyFill="1" applyBorder="1" applyAlignment="1">
      <alignment horizontal="center" vertical="center" wrapText="1"/>
    </xf>
    <xf numFmtId="166" fontId="20" fillId="24" borderId="0" xfId="107" applyNumberFormat="1" applyFont="1" applyFill="1" applyBorder="1" applyAlignment="1">
      <alignment horizontal="right" vertical="center"/>
    </xf>
    <xf numFmtId="166" fontId="20" fillId="24" borderId="68" xfId="107" applyNumberFormat="1" applyFont="1" applyFill="1" applyBorder="1" applyAlignment="1">
      <alignment horizontal="right" vertical="center"/>
    </xf>
    <xf numFmtId="166" fontId="20" fillId="24" borderId="42" xfId="107" applyNumberFormat="1" applyFont="1" applyFill="1" applyBorder="1" applyAlignment="1">
      <alignment horizontal="right" vertical="center"/>
    </xf>
    <xf numFmtId="166" fontId="20" fillId="24" borderId="19" xfId="107" applyNumberFormat="1" applyFont="1" applyFill="1" applyBorder="1" applyAlignment="1">
      <alignment horizontal="right" vertical="center"/>
    </xf>
    <xf numFmtId="166" fontId="20" fillId="24" borderId="2" xfId="107" applyNumberFormat="1" applyFont="1" applyFill="1" applyBorder="1" applyAlignment="1">
      <alignment horizontal="right" vertical="center"/>
    </xf>
    <xf numFmtId="166" fontId="20" fillId="24" borderId="13" xfId="107" applyNumberFormat="1" applyFont="1" applyFill="1" applyBorder="1" applyAlignment="1">
      <alignment horizontal="right" vertical="center"/>
    </xf>
    <xf numFmtId="0" fontId="0" fillId="4" borderId="0" xfId="0" applyFill="1" applyBorder="1" applyAlignment="1">
      <alignment horizontal="center" vertical="center"/>
    </xf>
    <xf numFmtId="0" fontId="0" fillId="4" borderId="0" xfId="0" applyFill="1" applyBorder="1" applyAlignment="1">
      <alignment horizontal="center" wrapText="1"/>
    </xf>
    <xf numFmtId="166" fontId="20" fillId="24" borderId="14" xfId="107" applyNumberFormat="1" applyFont="1" applyFill="1" applyBorder="1" applyAlignment="1">
      <alignment horizontal="right" vertical="center"/>
    </xf>
    <xf numFmtId="166" fontId="20" fillId="24" borderId="3" xfId="107" applyNumberFormat="1" applyFont="1" applyFill="1" applyBorder="1" applyAlignment="1">
      <alignment horizontal="right" vertical="center"/>
    </xf>
    <xf numFmtId="166" fontId="20" fillId="24" borderId="52" xfId="107" applyNumberFormat="1" applyFont="1" applyFill="1" applyBorder="1" applyAlignment="1">
      <alignment horizontal="right" vertical="center"/>
    </xf>
    <xf numFmtId="166" fontId="20" fillId="24" borderId="47" xfId="107" applyNumberFormat="1" applyFont="1" applyFill="1" applyBorder="1" applyAlignment="1">
      <alignment horizontal="right" vertical="center"/>
    </xf>
    <xf numFmtId="166" fontId="20" fillId="24" borderId="16" xfId="107" applyNumberFormat="1" applyFont="1" applyFill="1" applyBorder="1" applyAlignment="1">
      <alignment horizontal="right" vertical="center"/>
    </xf>
    <xf numFmtId="166" fontId="20" fillId="24" borderId="44" xfId="107" applyNumberFormat="1" applyFont="1" applyFill="1" applyBorder="1" applyAlignment="1">
      <alignment horizontal="right" vertical="center"/>
    </xf>
    <xf numFmtId="166" fontId="20" fillId="24" borderId="61" xfId="107" applyNumberFormat="1" applyFont="1" applyFill="1" applyBorder="1" applyAlignment="1">
      <alignment horizontal="right" vertical="center"/>
    </xf>
    <xf numFmtId="166" fontId="20" fillId="24" borderId="48" xfId="107" applyNumberFormat="1" applyFont="1" applyFill="1" applyBorder="1" applyAlignment="1">
      <alignment horizontal="right" vertical="center"/>
    </xf>
    <xf numFmtId="0" fontId="3" fillId="0" borderId="0" xfId="110" applyFill="1"/>
    <xf numFmtId="0" fontId="42" fillId="18" borderId="1" xfId="106" applyFont="1" applyFill="1" applyBorder="1" applyAlignment="1">
      <alignment horizontal="center" vertical="center" wrapText="1"/>
    </xf>
    <xf numFmtId="0" fontId="38" fillId="18" borderId="1" xfId="104" applyFill="1" applyBorder="1" applyAlignment="1">
      <alignment horizontal="center" vertical="center" wrapText="1"/>
    </xf>
    <xf numFmtId="49" fontId="38" fillId="18" borderId="1" xfId="104" applyNumberFormat="1" applyFill="1" applyBorder="1" applyAlignment="1">
      <alignment horizontal="center" vertical="center" wrapText="1"/>
    </xf>
    <xf numFmtId="0" fontId="38" fillId="17" borderId="1" xfId="104" applyFill="1" applyBorder="1" applyAlignment="1">
      <alignment horizontal="center" vertical="center" wrapText="1"/>
    </xf>
    <xf numFmtId="0" fontId="38" fillId="19" borderId="1" xfId="104" applyFill="1" applyBorder="1" applyAlignment="1">
      <alignment horizontal="center" vertical="center" wrapText="1"/>
    </xf>
    <xf numFmtId="0" fontId="42" fillId="20" borderId="1" xfId="106" applyFont="1" applyFill="1" applyBorder="1" applyAlignment="1">
      <alignment horizontal="center" vertical="center" wrapText="1"/>
    </xf>
    <xf numFmtId="0" fontId="18" fillId="11" borderId="25" xfId="27" applyFont="1" applyFill="1" applyBorder="1" applyAlignment="1">
      <alignment horizontal="left" vertical="center" wrapText="1"/>
    </xf>
    <xf numFmtId="49" fontId="38" fillId="25" borderId="1" xfId="104" applyNumberFormat="1" applyFill="1" applyBorder="1" applyAlignment="1">
      <alignment horizontal="center" vertical="center" wrapText="1"/>
    </xf>
    <xf numFmtId="0" fontId="3" fillId="0" borderId="0" xfId="1" applyFont="1"/>
    <xf numFmtId="0" fontId="56" fillId="0" borderId="0" xfId="2" applyFont="1" applyAlignment="1"/>
    <xf numFmtId="0" fontId="3" fillId="4" borderId="1" xfId="1" applyFont="1" applyFill="1" applyBorder="1" applyAlignment="1">
      <alignment horizontal="left" wrapText="1"/>
    </xf>
    <xf numFmtId="0" fontId="3" fillId="4" borderId="0" xfId="1" applyFont="1" applyFill="1"/>
    <xf numFmtId="0" fontId="3" fillId="4" borderId="1" xfId="1" applyFont="1" applyFill="1" applyBorder="1" applyAlignment="1">
      <alignment horizontal="left" vertical="top" wrapText="1"/>
    </xf>
    <xf numFmtId="0" fontId="3" fillId="4" borderId="1" xfId="105" applyFont="1" applyFill="1" applyBorder="1" applyAlignment="1">
      <alignment vertical="center" wrapText="1"/>
    </xf>
    <xf numFmtId="0" fontId="3" fillId="4" borderId="1" xfId="105" applyFont="1" applyFill="1" applyBorder="1" applyAlignment="1">
      <alignment horizontal="left" vertical="center" wrapText="1"/>
    </xf>
    <xf numFmtId="0" fontId="3" fillId="4" borderId="1" xfId="105" applyFont="1" applyFill="1" applyBorder="1" applyAlignment="1">
      <alignment horizontal="left" wrapText="1"/>
    </xf>
    <xf numFmtId="0" fontId="3" fillId="4" borderId="1" xfId="1" applyFont="1" applyFill="1" applyBorder="1" applyAlignment="1">
      <alignment horizontal="left" vertical="center" wrapText="1"/>
    </xf>
    <xf numFmtId="0" fontId="3" fillId="4" borderId="1" xfId="0" applyFont="1" applyFill="1" applyBorder="1" applyAlignment="1">
      <alignment horizontal="left" vertical="center" wrapText="1"/>
    </xf>
    <xf numFmtId="0" fontId="55" fillId="4" borderId="0" xfId="0" applyFont="1" applyFill="1" applyBorder="1" applyAlignment="1">
      <alignment vertical="top"/>
    </xf>
    <xf numFmtId="0" fontId="3" fillId="0" borderId="1" xfId="0" applyFont="1" applyFill="1" applyBorder="1"/>
    <xf numFmtId="0" fontId="3" fillId="0" borderId="14" xfId="0" applyFont="1" applyFill="1" applyBorder="1"/>
    <xf numFmtId="0" fontId="3" fillId="0" borderId="1" xfId="0" applyFont="1" applyBorder="1"/>
    <xf numFmtId="0" fontId="29" fillId="0" borderId="0" xfId="0" applyFont="1"/>
    <xf numFmtId="0" fontId="29" fillId="0" borderId="0" xfId="0" applyFont="1" applyAlignment="1">
      <alignment horizontal="left"/>
    </xf>
    <xf numFmtId="0" fontId="3" fillId="0" borderId="0" xfId="0" applyFont="1" applyFill="1" applyBorder="1" applyAlignment="1">
      <alignment vertical="center"/>
    </xf>
    <xf numFmtId="0" fontId="3" fillId="0" borderId="0" xfId="0" applyFont="1" applyFill="1" applyBorder="1"/>
    <xf numFmtId="0" fontId="3" fillId="0" borderId="0" xfId="0" applyFont="1"/>
    <xf numFmtId="0" fontId="3" fillId="0" borderId="0" xfId="0" applyFont="1" applyBorder="1"/>
    <xf numFmtId="0" fontId="29" fillId="0" borderId="0"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3" borderId="1" xfId="0" applyFont="1" applyFill="1" applyBorder="1" applyAlignment="1">
      <alignment horizontal="center" vertical="center"/>
    </xf>
    <xf numFmtId="2" fontId="3" fillId="4" borderId="1" xfId="0" quotePrefix="1"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58" xfId="0" applyFont="1" applyBorder="1" applyAlignment="1">
      <alignment horizontal="center" vertical="center"/>
    </xf>
    <xf numFmtId="0" fontId="3" fillId="23" borderId="11" xfId="0" applyFont="1" applyFill="1" applyBorder="1" applyAlignment="1">
      <alignment horizontal="center" vertical="center"/>
    </xf>
    <xf numFmtId="0" fontId="3" fillId="23" borderId="11"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 xfId="0" quotePrefix="1" applyFont="1" applyBorder="1" applyAlignment="1">
      <alignment horizontal="left"/>
    </xf>
    <xf numFmtId="0" fontId="3" fillId="0" borderId="38" xfId="0" applyFont="1" applyBorder="1"/>
    <xf numFmtId="1" fontId="3" fillId="0" borderId="37" xfId="0" applyNumberFormat="1" applyFont="1" applyFill="1" applyBorder="1" applyAlignment="1">
      <alignment horizontal="center"/>
    </xf>
    <xf numFmtId="1" fontId="3" fillId="0" borderId="37" xfId="0" applyNumberFormat="1" applyFont="1" applyBorder="1" applyAlignment="1">
      <alignment horizontal="center"/>
    </xf>
    <xf numFmtId="1" fontId="3" fillId="0" borderId="40" xfId="0" applyNumberFormat="1" applyFont="1" applyBorder="1" applyAlignment="1">
      <alignment horizontal="center"/>
    </xf>
    <xf numFmtId="1" fontId="3" fillId="23" borderId="37" xfId="0" applyNumberFormat="1" applyFont="1" applyFill="1" applyBorder="1" applyAlignment="1">
      <alignment horizontal="center"/>
    </xf>
    <xf numFmtId="1" fontId="3" fillId="0" borderId="38" xfId="0" applyNumberFormat="1" applyFont="1" applyBorder="1" applyAlignment="1">
      <alignment horizontal="center"/>
    </xf>
    <xf numFmtId="0" fontId="3" fillId="0" borderId="54" xfId="0" applyFont="1" applyBorder="1"/>
    <xf numFmtId="1" fontId="3" fillId="0" borderId="1" xfId="0" applyNumberFormat="1" applyFont="1" applyFill="1" applyBorder="1" applyAlignment="1">
      <alignment horizontal="center"/>
    </xf>
    <xf numFmtId="1" fontId="3" fillId="0" borderId="1" xfId="0" applyNumberFormat="1" applyFont="1" applyBorder="1" applyAlignment="1">
      <alignment horizontal="center"/>
    </xf>
    <xf numFmtId="1" fontId="3" fillId="0" borderId="5" xfId="0" applyNumberFormat="1" applyFont="1" applyBorder="1" applyAlignment="1">
      <alignment horizontal="center"/>
    </xf>
    <xf numFmtId="1" fontId="3" fillId="23" borderId="1" xfId="0" applyNumberFormat="1" applyFont="1" applyFill="1" applyBorder="1" applyAlignment="1">
      <alignment horizontal="center"/>
    </xf>
    <xf numFmtId="1" fontId="3" fillId="0" borderId="54" xfId="0" applyNumberFormat="1" applyFont="1" applyBorder="1" applyAlignment="1">
      <alignment horizontal="center"/>
    </xf>
    <xf numFmtId="0" fontId="3" fillId="0" borderId="1" xfId="0" applyFont="1" applyBorder="1" applyAlignment="1">
      <alignment horizontal="left"/>
    </xf>
    <xf numFmtId="0" fontId="3" fillId="0" borderId="1" xfId="0" applyFont="1" applyFill="1" applyBorder="1" applyAlignment="1">
      <alignment horizontal="left"/>
    </xf>
    <xf numFmtId="0" fontId="3" fillId="0" borderId="10" xfId="0" applyFont="1" applyFill="1" applyBorder="1"/>
    <xf numFmtId="1" fontId="3" fillId="0" borderId="11" xfId="0" applyNumberFormat="1" applyFont="1" applyFill="1" applyBorder="1" applyAlignment="1">
      <alignment horizontal="center"/>
    </xf>
    <xf numFmtId="1" fontId="3" fillId="0" borderId="58" xfId="0" applyNumberFormat="1" applyFont="1" applyFill="1" applyBorder="1" applyAlignment="1">
      <alignment horizontal="center"/>
    </xf>
    <xf numFmtId="1" fontId="3" fillId="23" borderId="11" xfId="0" applyNumberFormat="1" applyFont="1" applyFill="1" applyBorder="1" applyAlignment="1">
      <alignment horizontal="center"/>
    </xf>
    <xf numFmtId="0" fontId="3" fillId="0" borderId="0" xfId="0" applyFont="1" applyFill="1"/>
    <xf numFmtId="1" fontId="3" fillId="0" borderId="10" xfId="0" applyNumberFormat="1" applyFont="1" applyFill="1" applyBorder="1" applyAlignment="1">
      <alignment horizontal="center"/>
    </xf>
    <xf numFmtId="0" fontId="3" fillId="0" borderId="4" xfId="0" applyFont="1" applyBorder="1"/>
    <xf numFmtId="0" fontId="3" fillId="0" borderId="12" xfId="0" applyFont="1" applyBorder="1" applyAlignment="1">
      <alignment horizontal="center" vertical="center"/>
    </xf>
    <xf numFmtId="0" fontId="3" fillId="0" borderId="55" xfId="0" applyFont="1" applyBorder="1"/>
    <xf numFmtId="1" fontId="3" fillId="5" borderId="21" xfId="0" applyNumberFormat="1" applyFont="1" applyFill="1" applyBorder="1"/>
    <xf numFmtId="1" fontId="3" fillId="0" borderId="39" xfId="0" applyNumberFormat="1" applyFont="1" applyBorder="1" applyAlignment="1">
      <alignment horizontal="center"/>
    </xf>
    <xf numFmtId="1" fontId="3" fillId="23" borderId="38" xfId="0" applyNumberFormat="1" applyFont="1" applyFill="1" applyBorder="1" applyAlignment="1">
      <alignment horizontal="center"/>
    </xf>
    <xf numFmtId="1" fontId="3" fillId="23" borderId="40" xfId="0" applyNumberFormat="1" applyFont="1" applyFill="1" applyBorder="1" applyAlignment="1">
      <alignment horizontal="center"/>
    </xf>
    <xf numFmtId="1" fontId="3" fillId="23" borderId="62" xfId="0" applyNumberFormat="1" applyFont="1" applyFill="1" applyBorder="1" applyAlignment="1">
      <alignment horizontal="center"/>
    </xf>
    <xf numFmtId="0" fontId="3" fillId="0" borderId="56" xfId="0" applyFont="1" applyBorder="1"/>
    <xf numFmtId="1" fontId="3" fillId="5" borderId="0" xfId="0" applyNumberFormat="1" applyFont="1" applyFill="1" applyBorder="1"/>
    <xf numFmtId="1" fontId="3" fillId="0" borderId="50" xfId="0" applyNumberFormat="1" applyFont="1" applyBorder="1" applyAlignment="1">
      <alignment horizontal="center"/>
    </xf>
    <xf numFmtId="1" fontId="3" fillId="23" borderId="54" xfId="0" applyNumberFormat="1" applyFont="1" applyFill="1" applyBorder="1" applyAlignment="1">
      <alignment horizontal="center"/>
    </xf>
    <xf numFmtId="1" fontId="3" fillId="23" borderId="5" xfId="0" applyNumberFormat="1" applyFont="1" applyFill="1" applyBorder="1" applyAlignment="1">
      <alignment horizontal="center"/>
    </xf>
    <xf numFmtId="1" fontId="3" fillId="23" borderId="7" xfId="0" applyNumberFormat="1" applyFont="1" applyFill="1" applyBorder="1" applyAlignment="1">
      <alignment horizontal="center"/>
    </xf>
    <xf numFmtId="0" fontId="3" fillId="0" borderId="57" xfId="0" applyFont="1" applyBorder="1"/>
    <xf numFmtId="1" fontId="3" fillId="0" borderId="11" xfId="0" applyNumberFormat="1" applyFont="1" applyBorder="1" applyAlignment="1">
      <alignment horizontal="center"/>
    </xf>
    <xf numFmtId="1" fontId="3" fillId="5" borderId="23" xfId="0" applyNumberFormat="1" applyFont="1" applyFill="1" applyBorder="1"/>
    <xf numFmtId="1" fontId="3" fillId="0" borderId="12" xfId="0" applyNumberFormat="1" applyFont="1" applyBorder="1" applyAlignment="1">
      <alignment horizontal="center"/>
    </xf>
    <xf numFmtId="1" fontId="3" fillId="23" borderId="10" xfId="0" applyNumberFormat="1" applyFont="1" applyFill="1" applyBorder="1" applyAlignment="1">
      <alignment horizontal="center"/>
    </xf>
    <xf numFmtId="1" fontId="3" fillId="23" borderId="58" xfId="0" applyNumberFormat="1" applyFont="1" applyFill="1" applyBorder="1" applyAlignment="1">
      <alignment horizontal="center"/>
    </xf>
    <xf numFmtId="1" fontId="3" fillId="23" borderId="17" xfId="0" applyNumberFormat="1" applyFont="1" applyFill="1" applyBorder="1" applyAlignment="1">
      <alignment horizontal="center"/>
    </xf>
    <xf numFmtId="1" fontId="3" fillId="0" borderId="10" xfId="0" applyNumberFormat="1" applyFont="1" applyBorder="1" applyAlignment="1">
      <alignment horizontal="center"/>
    </xf>
    <xf numFmtId="1" fontId="3" fillId="0" borderId="3" xfId="0" applyNumberFormat="1" applyFont="1" applyBorder="1" applyAlignment="1">
      <alignment horizontal="center"/>
    </xf>
    <xf numFmtId="1" fontId="3" fillId="0" borderId="16" xfId="0" applyNumberFormat="1" applyFont="1" applyBorder="1" applyAlignment="1">
      <alignment horizontal="center"/>
    </xf>
    <xf numFmtId="1" fontId="3" fillId="23" borderId="3" xfId="0" applyNumberFormat="1" applyFont="1" applyFill="1" applyBorder="1" applyAlignment="1">
      <alignment horizontal="center"/>
    </xf>
    <xf numFmtId="1" fontId="3" fillId="23" borderId="13" xfId="0" applyNumberFormat="1" applyFont="1" applyFill="1" applyBorder="1" applyAlignment="1">
      <alignment horizontal="center"/>
    </xf>
    <xf numFmtId="1" fontId="3" fillId="23" borderId="63" xfId="0" applyNumberFormat="1" applyFont="1" applyFill="1" applyBorder="1" applyAlignment="1">
      <alignment horizontal="center"/>
    </xf>
    <xf numFmtId="1" fontId="3" fillId="0" borderId="36" xfId="0" applyNumberFormat="1" applyFont="1" applyBorder="1" applyAlignment="1">
      <alignment horizontal="center"/>
    </xf>
    <xf numFmtId="0" fontId="3" fillId="0" borderId="54" xfId="0" applyFont="1" applyBorder="1" applyAlignment="1">
      <alignment horizontal="left" indent="1"/>
    </xf>
    <xf numFmtId="0" fontId="3" fillId="0" borderId="56" xfId="0" applyFont="1" applyBorder="1" applyAlignment="1">
      <alignment horizontal="left" indent="1"/>
    </xf>
    <xf numFmtId="0" fontId="3" fillId="0" borderId="64" xfId="1" applyFont="1" applyBorder="1" applyAlignment="1">
      <alignment horizontal="left" vertical="top" wrapText="1"/>
    </xf>
    <xf numFmtId="0" fontId="4" fillId="4" borderId="18" xfId="0" quotePrefix="1" applyFont="1" applyFill="1" applyBorder="1" applyAlignment="1">
      <alignment horizontal="left" vertical="top" wrapText="1"/>
    </xf>
    <xf numFmtId="0" fontId="4" fillId="4" borderId="15" xfId="0" quotePrefix="1" applyFont="1" applyFill="1" applyBorder="1" applyAlignment="1">
      <alignment horizontal="left" vertical="top" wrapText="1"/>
    </xf>
    <xf numFmtId="0" fontId="3" fillId="4" borderId="35" xfId="0" applyFont="1" applyFill="1" applyBorder="1" applyAlignment="1">
      <alignment horizontal="left" vertical="top" wrapText="1"/>
    </xf>
    <xf numFmtId="0" fontId="0" fillId="2" borderId="0" xfId="0" applyFill="1" applyBorder="1" applyAlignment="1">
      <alignment horizontal="left" vertical="center"/>
    </xf>
    <xf numFmtId="0" fontId="57" fillId="4" borderId="18" xfId="0" quotePrefix="1" applyFont="1" applyFill="1" applyBorder="1" applyAlignment="1">
      <alignment horizontal="left" vertical="top" wrapText="1"/>
    </xf>
    <xf numFmtId="0" fontId="57" fillId="4" borderId="15" xfId="0" quotePrefix="1" applyFont="1" applyFill="1" applyBorder="1" applyAlignment="1">
      <alignment horizontal="left" vertical="top" wrapText="1"/>
    </xf>
    <xf numFmtId="0" fontId="55" fillId="4" borderId="35" xfId="0" applyFont="1" applyFill="1" applyBorder="1" applyAlignment="1">
      <alignment horizontal="left" vertical="top" wrapText="1"/>
    </xf>
    <xf numFmtId="0" fontId="2" fillId="8" borderId="65" xfId="73" applyFont="1" applyFill="1" applyBorder="1" applyAlignment="1">
      <alignment horizontal="left" vertical="top"/>
    </xf>
    <xf numFmtId="0" fontId="14" fillId="8" borderId="66" xfId="73" applyFill="1" applyBorder="1" applyAlignment="1">
      <alignment horizontal="left" vertical="top"/>
    </xf>
    <xf numFmtId="0" fontId="14" fillId="8" borderId="67" xfId="73" applyFill="1" applyBorder="1" applyAlignment="1">
      <alignment horizontal="left" vertical="top"/>
    </xf>
    <xf numFmtId="0" fontId="0" fillId="8" borderId="65" xfId="73" applyFont="1" applyFill="1" applyBorder="1" applyAlignment="1">
      <alignment horizontal="left" vertical="top" wrapText="1"/>
    </xf>
    <xf numFmtId="0" fontId="14" fillId="8" borderId="66" xfId="73" applyFill="1" applyBorder="1" applyAlignment="1">
      <alignment horizontal="left" vertical="top" wrapText="1"/>
    </xf>
    <xf numFmtId="0" fontId="14" fillId="8" borderId="67" xfId="73" applyFill="1" applyBorder="1" applyAlignment="1">
      <alignment horizontal="left" vertical="top" wrapText="1"/>
    </xf>
    <xf numFmtId="0" fontId="29" fillId="0" borderId="64" xfId="1" applyFont="1" applyBorder="1" applyAlignment="1">
      <alignment horizontal="left" vertical="top" wrapText="1"/>
    </xf>
    <xf numFmtId="0" fontId="50" fillId="4" borderId="0" xfId="104" applyFont="1" applyFill="1" applyBorder="1" applyAlignment="1">
      <alignment horizontal="left" vertical="top" wrapText="1"/>
    </xf>
    <xf numFmtId="0" fontId="0" fillId="4" borderId="35" xfId="0" applyFont="1" applyFill="1" applyBorder="1" applyAlignment="1">
      <alignment horizontal="left" vertical="top" wrapText="1"/>
    </xf>
    <xf numFmtId="0" fontId="21" fillId="10" borderId="0" xfId="8" applyFont="1" applyFill="1" applyAlignment="1" applyProtection="1">
      <alignment horizontal="left" vertical="center" wrapText="1"/>
    </xf>
    <xf numFmtId="0" fontId="20" fillId="4" borderId="26" xfId="27" applyFont="1" applyFill="1" applyBorder="1" applyAlignment="1" applyProtection="1">
      <alignment horizontal="center" vertical="center" wrapText="1"/>
      <protection locked="0"/>
    </xf>
    <xf numFmtId="0" fontId="38" fillId="4" borderId="26" xfId="104" applyFill="1" applyBorder="1" applyAlignment="1" applyProtection="1">
      <alignment horizontal="center" vertical="center" wrapText="1"/>
      <protection locked="0"/>
    </xf>
    <xf numFmtId="0" fontId="20" fillId="4" borderId="28" xfId="27" applyFont="1" applyFill="1" applyBorder="1" applyAlignment="1" applyProtection="1">
      <alignment horizontal="center" vertical="center" wrapText="1"/>
      <protection locked="0"/>
    </xf>
    <xf numFmtId="0" fontId="20" fillId="4" borderId="29" xfId="27" applyFont="1" applyFill="1" applyBorder="1" applyAlignment="1" applyProtection="1">
      <alignment horizontal="center" vertical="center" wrapText="1"/>
      <protection locked="0"/>
    </xf>
    <xf numFmtId="0" fontId="20" fillId="4" borderId="30" xfId="27" applyFont="1" applyFill="1" applyBorder="1" applyAlignment="1" applyProtection="1">
      <alignment horizontal="center" vertical="center" wrapText="1"/>
      <protection locked="0"/>
    </xf>
    <xf numFmtId="0" fontId="18" fillId="4" borderId="26" xfId="27" applyFont="1" applyFill="1" applyBorder="1" applyAlignment="1" applyProtection="1">
      <alignment horizontal="left" vertical="center" wrapText="1"/>
      <protection locked="0"/>
    </xf>
    <xf numFmtId="0" fontId="38" fillId="4" borderId="26" xfId="104" applyFill="1" applyBorder="1" applyAlignment="1" applyProtection="1">
      <alignment horizontal="left" vertical="center" wrapText="1"/>
      <protection locked="0"/>
    </xf>
    <xf numFmtId="0" fontId="18" fillId="10" borderId="0" xfId="8" applyFont="1" applyFill="1" applyAlignment="1" applyProtection="1">
      <alignment horizontal="left" vertical="center"/>
    </xf>
    <xf numFmtId="0" fontId="3" fillId="23" borderId="1" xfId="0" applyFont="1" applyFill="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6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3" borderId="9"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46" xfId="0" applyFont="1" applyBorder="1" applyAlignment="1">
      <alignment horizontal="center" vertical="center"/>
    </xf>
    <xf numFmtId="0" fontId="3" fillId="0" borderId="53"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49" xfId="0" applyFont="1" applyBorder="1" applyAlignment="1">
      <alignment horizontal="center" vertical="center" textRotation="90"/>
    </xf>
    <xf numFmtId="0" fontId="3" fillId="0" borderId="42" xfId="0" applyFont="1" applyBorder="1" applyAlignment="1">
      <alignment horizontal="center" vertical="center" textRotation="90"/>
    </xf>
    <xf numFmtId="0" fontId="3" fillId="0" borderId="44" xfId="0" applyFont="1" applyBorder="1" applyAlignment="1">
      <alignment horizontal="center" vertical="center" textRotation="90"/>
    </xf>
    <xf numFmtId="0" fontId="3" fillId="0" borderId="51" xfId="0" applyFont="1" applyBorder="1" applyAlignment="1">
      <alignment horizontal="center" vertical="center"/>
    </xf>
    <xf numFmtId="0" fontId="3" fillId="4" borderId="9" xfId="0" applyFont="1" applyFill="1" applyBorder="1" applyAlignment="1">
      <alignment horizontal="center"/>
    </xf>
    <xf numFmtId="0" fontId="3" fillId="4" borderId="21" xfId="0" applyFont="1" applyFill="1" applyBorder="1" applyAlignment="1">
      <alignment horizontal="center"/>
    </xf>
    <xf numFmtId="0" fontId="3" fillId="4" borderId="22"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xf>
    <xf numFmtId="0" fontId="3" fillId="4" borderId="33" xfId="0" applyFont="1" applyFill="1" applyBorder="1" applyAlignment="1">
      <alignment horizontal="center"/>
    </xf>
    <xf numFmtId="0" fontId="3" fillId="4" borderId="23" xfId="0" applyFont="1" applyFill="1" applyBorder="1" applyAlignment="1">
      <alignment horizontal="center"/>
    </xf>
    <xf numFmtId="0" fontId="3" fillId="4" borderId="20" xfId="0" applyFont="1" applyFill="1" applyBorder="1" applyAlignment="1">
      <alignment horizontal="center"/>
    </xf>
    <xf numFmtId="0" fontId="58" fillId="0" borderId="1" xfId="0" applyFont="1" applyBorder="1" applyAlignment="1">
      <alignment horizontal="center"/>
    </xf>
    <xf numFmtId="0" fontId="3" fillId="0" borderId="1" xfId="0" applyFont="1" applyBorder="1" applyAlignment="1">
      <alignment horizontal="center" vertical="top" wrapText="1"/>
    </xf>
    <xf numFmtId="0" fontId="3" fillId="3" borderId="55"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62" xfId="0" applyFont="1" applyFill="1" applyBorder="1" applyAlignment="1">
      <alignment horizontal="center" vertical="center"/>
    </xf>
    <xf numFmtId="0" fontId="29" fillId="6" borderId="0" xfId="0" applyFont="1" applyFill="1" applyBorder="1" applyAlignment="1">
      <alignment horizontal="center" vertical="center"/>
    </xf>
    <xf numFmtId="0" fontId="3" fillId="0" borderId="1" xfId="0" applyFont="1" applyFill="1" applyBorder="1" applyAlignment="1">
      <alignment horizontal="left" wrapText="1" indent="1"/>
    </xf>
    <xf numFmtId="0" fontId="36" fillId="4" borderId="5"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19" xfId="0" applyFont="1" applyFill="1" applyBorder="1" applyAlignment="1">
      <alignment horizontal="center" vertical="center" wrapText="1"/>
    </xf>
    <xf numFmtId="0" fontId="36" fillId="4" borderId="13" xfId="0" applyFont="1" applyFill="1" applyBorder="1" applyAlignment="1">
      <alignment horizontal="center" vertical="center" wrapText="1"/>
    </xf>
    <xf numFmtId="0" fontId="36" fillId="4" borderId="40" xfId="0" applyFont="1" applyFill="1" applyBorder="1" applyAlignment="1">
      <alignment horizontal="center"/>
    </xf>
    <xf numFmtId="0" fontId="36" fillId="4" borderId="41" xfId="0" applyFont="1" applyFill="1" applyBorder="1" applyAlignment="1">
      <alignment horizontal="center"/>
    </xf>
    <xf numFmtId="0" fontId="36" fillId="4" borderId="45" xfId="0" applyFont="1" applyFill="1" applyBorder="1" applyAlignment="1">
      <alignment horizontal="center"/>
    </xf>
    <xf numFmtId="0" fontId="36" fillId="4" borderId="6" xfId="0" applyFont="1" applyFill="1" applyBorder="1" applyAlignment="1">
      <alignment horizontal="center"/>
    </xf>
    <xf numFmtId="0" fontId="36" fillId="4" borderId="52" xfId="0" applyFont="1" applyFill="1" applyBorder="1" applyAlignment="1">
      <alignment horizontal="center" vertical="center" wrapText="1"/>
    </xf>
    <xf numFmtId="0" fontId="36" fillId="4" borderId="47" xfId="0" applyFont="1" applyFill="1" applyBorder="1" applyAlignment="1">
      <alignment horizontal="center" vertical="center" wrapText="1"/>
    </xf>
    <xf numFmtId="0" fontId="36" fillId="4" borderId="16" xfId="0" applyFont="1" applyFill="1" applyBorder="1" applyAlignment="1">
      <alignment horizontal="center" vertical="center" wrapText="1"/>
    </xf>
    <xf numFmtId="0" fontId="36" fillId="4" borderId="35"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5" xfId="0" applyFont="1" applyFill="1" applyBorder="1" applyAlignment="1">
      <alignment horizontal="center" vertical="center"/>
    </xf>
    <xf numFmtId="0" fontId="36" fillId="4" borderId="6" xfId="0" applyFont="1" applyFill="1" applyBorder="1" applyAlignment="1">
      <alignment horizontal="center" vertical="center"/>
    </xf>
    <xf numFmtId="49" fontId="36" fillId="4" borderId="19" xfId="0" applyNumberFormat="1" applyFont="1" applyFill="1" applyBorder="1" applyAlignment="1">
      <alignment horizontal="center" vertical="center" wrapText="1"/>
    </xf>
    <xf numFmtId="49" fontId="36" fillId="4" borderId="13" xfId="0" applyNumberFormat="1" applyFont="1" applyFill="1" applyBorder="1" applyAlignment="1">
      <alignment horizontal="center" vertical="center" wrapText="1"/>
    </xf>
    <xf numFmtId="0" fontId="36" fillId="4" borderId="68" xfId="0" applyFont="1" applyFill="1" applyBorder="1" applyAlignment="1">
      <alignment horizontal="center" vertical="center" wrapText="1"/>
    </xf>
    <xf numFmtId="0" fontId="36" fillId="4" borderId="3" xfId="0" applyFont="1" applyFill="1" applyBorder="1" applyAlignment="1">
      <alignment horizontal="center" vertical="center" wrapText="1"/>
    </xf>
    <xf numFmtId="49" fontId="36" fillId="4" borderId="68" xfId="0" applyNumberFormat="1" applyFont="1" applyFill="1" applyBorder="1" applyAlignment="1">
      <alignment horizontal="center" vertical="center" wrapText="1"/>
    </xf>
    <xf numFmtId="49" fontId="36" fillId="4" borderId="3" xfId="0" applyNumberFormat="1" applyFont="1" applyFill="1" applyBorder="1" applyAlignment="1">
      <alignment horizontal="center" vertical="center" wrapText="1"/>
    </xf>
    <xf numFmtId="0" fontId="36" fillId="4" borderId="14" xfId="0" applyFont="1" applyFill="1" applyBorder="1" applyAlignment="1">
      <alignment horizontal="center" vertical="center" wrapText="1"/>
    </xf>
    <xf numFmtId="0" fontId="1" fillId="0" borderId="49" xfId="0" applyFont="1" applyBorder="1" applyAlignment="1">
      <alignment horizontal="center" vertical="center"/>
    </xf>
    <xf numFmtId="0" fontId="1" fillId="0" borderId="2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 fillId="0" borderId="63" xfId="0" applyFont="1" applyBorder="1" applyAlignment="1">
      <alignment horizontal="center" vertical="center"/>
    </xf>
    <xf numFmtId="0" fontId="1" fillId="0" borderId="53" xfId="0" applyFont="1" applyBorder="1" applyAlignment="1">
      <alignment horizontal="center" vertical="center"/>
    </xf>
    <xf numFmtId="0" fontId="1" fillId="0" borderId="43" xfId="0" applyFont="1" applyBorder="1" applyAlignment="1">
      <alignment horizontal="center" vertical="center"/>
    </xf>
    <xf numFmtId="0" fontId="1" fillId="0" borderId="36" xfId="0" applyFont="1" applyBorder="1" applyAlignment="1">
      <alignment horizontal="center" vertical="center"/>
    </xf>
    <xf numFmtId="0" fontId="36" fillId="4" borderId="5" xfId="0" applyFont="1" applyFill="1" applyBorder="1" applyAlignment="1">
      <alignment horizontal="center"/>
    </xf>
    <xf numFmtId="0" fontId="0" fillId="0" borderId="1" xfId="0" applyBorder="1" applyAlignment="1">
      <alignment horizontal="center" vertical="center"/>
    </xf>
    <xf numFmtId="0" fontId="0" fillId="0" borderId="68" xfId="0" applyBorder="1" applyAlignment="1">
      <alignment horizontal="center" vertical="center"/>
    </xf>
    <xf numFmtId="0" fontId="0" fillId="0" borderId="11" xfId="0"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3" fillId="0" borderId="11" xfId="0" applyFont="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wrapText="1"/>
    </xf>
  </cellXfs>
  <cellStyles count="111">
    <cellStyle name="bin" xfId="29" xr:uid="{00000000-0005-0000-0000-000000000000}"/>
    <cellStyle name="blue" xfId="30" xr:uid="{00000000-0005-0000-0000-000001000000}"/>
    <cellStyle name="čárky_1997" xfId="3" xr:uid="{00000000-0005-0000-0000-000002000000}"/>
    <cellStyle name="cell" xfId="27" xr:uid="{00000000-0005-0000-0000-000003000000}"/>
    <cellStyle name="cell 2" xfId="31" xr:uid="{00000000-0005-0000-0000-000004000000}"/>
    <cellStyle name="cell 2 2" xfId="32" xr:uid="{00000000-0005-0000-0000-000005000000}"/>
    <cellStyle name="cell 3" xfId="33" xr:uid="{00000000-0005-0000-0000-000006000000}"/>
    <cellStyle name="cell 3 2" xfId="34" xr:uid="{00000000-0005-0000-0000-000007000000}"/>
    <cellStyle name="cell 4" xfId="35" xr:uid="{00000000-0005-0000-0000-000008000000}"/>
    <cellStyle name="cell_06entr" xfId="36" xr:uid="{00000000-0005-0000-0000-000009000000}"/>
    <cellStyle name="Col&amp;RowHeadings" xfId="37" xr:uid="{00000000-0005-0000-0000-00000A000000}"/>
    <cellStyle name="ColCodes" xfId="38" xr:uid="{00000000-0005-0000-0000-00000B000000}"/>
    <cellStyle name="ColTitles" xfId="39" xr:uid="{00000000-0005-0000-0000-00000C000000}"/>
    <cellStyle name="column" xfId="40" xr:uid="{00000000-0005-0000-0000-00000D000000}"/>
    <cellStyle name="DataEntryCells" xfId="41" xr:uid="{00000000-0005-0000-0000-00000E000000}"/>
    <cellStyle name="DataEntryCells 2" xfId="42" xr:uid="{00000000-0005-0000-0000-00000F000000}"/>
    <cellStyle name="DataEntryCells 2 2" xfId="43" xr:uid="{00000000-0005-0000-0000-000010000000}"/>
    <cellStyle name="DataEntryCells 2_08pers" xfId="44" xr:uid="{00000000-0005-0000-0000-000011000000}"/>
    <cellStyle name="DataEntryCells_05entr" xfId="45" xr:uid="{00000000-0005-0000-0000-000012000000}"/>
    <cellStyle name="ErrRpt_DataEntryCells" xfId="46" xr:uid="{00000000-0005-0000-0000-000013000000}"/>
    <cellStyle name="ErrRpt-DataEntryCells" xfId="47" xr:uid="{00000000-0005-0000-0000-000014000000}"/>
    <cellStyle name="ErrRpt-DataEntryCells 2" xfId="48" xr:uid="{00000000-0005-0000-0000-000015000000}"/>
    <cellStyle name="ErrRpt-GreyBackground" xfId="49" xr:uid="{00000000-0005-0000-0000-000016000000}"/>
    <cellStyle name="formula" xfId="50" xr:uid="{00000000-0005-0000-0000-000017000000}"/>
    <cellStyle name="formula 2" xfId="51" xr:uid="{00000000-0005-0000-0000-000018000000}"/>
    <cellStyle name="gap" xfId="4" xr:uid="{00000000-0005-0000-0000-000019000000}"/>
    <cellStyle name="GreyBackground" xfId="5" xr:uid="{00000000-0005-0000-0000-00001A000000}"/>
    <cellStyle name="GreyBackground 2" xfId="52" xr:uid="{00000000-0005-0000-0000-00001B000000}"/>
    <cellStyle name="GreyBackground 2 2" xfId="53" xr:uid="{00000000-0005-0000-0000-00001C000000}"/>
    <cellStyle name="GreyBackground 2_08pers" xfId="54" xr:uid="{00000000-0005-0000-0000-00001D000000}"/>
    <cellStyle name="GreyBackground_00enrl" xfId="55" xr:uid="{00000000-0005-0000-0000-00001E000000}"/>
    <cellStyle name="Hyperlink" xfId="104" builtinId="8"/>
    <cellStyle name="Hyperlink 2" xfId="56" xr:uid="{00000000-0005-0000-0000-000020000000}"/>
    <cellStyle name="Hypertextový odkaz_SVK_neac-Janka" xfId="6" xr:uid="{00000000-0005-0000-0000-000021000000}"/>
    <cellStyle name="ISC" xfId="57" xr:uid="{00000000-0005-0000-0000-000022000000}"/>
    <cellStyle name="ISC 2" xfId="58" xr:uid="{00000000-0005-0000-0000-000023000000}"/>
    <cellStyle name="isced" xfId="59" xr:uid="{00000000-0005-0000-0000-000024000000}"/>
    <cellStyle name="isced 2" xfId="60" xr:uid="{00000000-0005-0000-0000-000025000000}"/>
    <cellStyle name="ISCED Titles" xfId="61" xr:uid="{00000000-0005-0000-0000-000026000000}"/>
    <cellStyle name="isced_06entr" xfId="62" xr:uid="{00000000-0005-0000-0000-000027000000}"/>
    <cellStyle name="level1a" xfId="63" xr:uid="{00000000-0005-0000-0000-000028000000}"/>
    <cellStyle name="level1a 2" xfId="64" xr:uid="{00000000-0005-0000-0000-000029000000}"/>
    <cellStyle name="level2" xfId="65" xr:uid="{00000000-0005-0000-0000-00002A000000}"/>
    <cellStyle name="level2a" xfId="66" xr:uid="{00000000-0005-0000-0000-00002B000000}"/>
    <cellStyle name="level2a 2" xfId="67" xr:uid="{00000000-0005-0000-0000-00002C000000}"/>
    <cellStyle name="level3" xfId="68" xr:uid="{00000000-0005-0000-0000-00002D000000}"/>
    <cellStyle name="level3 2" xfId="69" xr:uid="{00000000-0005-0000-0000-00002E000000}"/>
    <cellStyle name="level3 2 2" xfId="70" xr:uid="{00000000-0005-0000-0000-00002F000000}"/>
    <cellStyle name="level3 3" xfId="71" xr:uid="{00000000-0005-0000-0000-000030000000}"/>
    <cellStyle name="měny_1997" xfId="7" xr:uid="{00000000-0005-0000-0000-000031000000}"/>
    <cellStyle name="Normal" xfId="0" builtinId="0"/>
    <cellStyle name="Normal 10" xfId="105" xr:uid="{00000000-0005-0000-0000-000033000000}"/>
    <cellStyle name="Normal 10 2" xfId="110" xr:uid="{00000000-0005-0000-0000-000034000000}"/>
    <cellStyle name="Normal 10 3" xfId="108" xr:uid="{00000000-0005-0000-0000-000035000000}"/>
    <cellStyle name="Normal 11 2" xfId="72" xr:uid="{00000000-0005-0000-0000-000036000000}"/>
    <cellStyle name="Normal 2" xfId="1" xr:uid="{00000000-0005-0000-0000-000037000000}"/>
    <cellStyle name="Normal 2 2" xfId="8" xr:uid="{00000000-0005-0000-0000-000038000000}"/>
    <cellStyle name="Normal 2 2 2" xfId="9" xr:uid="{00000000-0005-0000-0000-000039000000}"/>
    <cellStyle name="Normal 2 3" xfId="10" xr:uid="{00000000-0005-0000-0000-00003A000000}"/>
    <cellStyle name="Normal 2 3 2" xfId="11" xr:uid="{00000000-0005-0000-0000-00003B000000}"/>
    <cellStyle name="Normal 2 4" xfId="12" xr:uid="{00000000-0005-0000-0000-00003C000000}"/>
    <cellStyle name="Normal 2 4 2" xfId="13" xr:uid="{00000000-0005-0000-0000-00003D000000}"/>
    <cellStyle name="Normal 2 5" xfId="14" xr:uid="{00000000-0005-0000-0000-00003E000000}"/>
    <cellStyle name="Normal 2 5 2" xfId="15" xr:uid="{00000000-0005-0000-0000-00003F000000}"/>
    <cellStyle name="Normal 2 6" xfId="16" xr:uid="{00000000-0005-0000-0000-000040000000}"/>
    <cellStyle name="Normal 3" xfId="17" xr:uid="{00000000-0005-0000-0000-000041000000}"/>
    <cellStyle name="Normal 3 2" xfId="18" xr:uid="{00000000-0005-0000-0000-000042000000}"/>
    <cellStyle name="Normal 3 3" xfId="19" xr:uid="{00000000-0005-0000-0000-000043000000}"/>
    <cellStyle name="Normal 4" xfId="73" xr:uid="{00000000-0005-0000-0000-000044000000}"/>
    <cellStyle name="Normal 4 2" xfId="74" xr:uid="{00000000-0005-0000-0000-000045000000}"/>
    <cellStyle name="Normal 5" xfId="28" xr:uid="{00000000-0005-0000-0000-000046000000}"/>
    <cellStyle name="Normal 5 2" xfId="75" xr:uid="{00000000-0005-0000-0000-000047000000}"/>
    <cellStyle name="Normal 6" xfId="76" xr:uid="{00000000-0005-0000-0000-000048000000}"/>
    <cellStyle name="Normal 6 2" xfId="77" xr:uid="{00000000-0005-0000-0000-000049000000}"/>
    <cellStyle name="Normal 7" xfId="78" xr:uid="{00000000-0005-0000-0000-00004A000000}"/>
    <cellStyle name="Normal 8" xfId="20" xr:uid="{00000000-0005-0000-0000-00004B000000}"/>
    <cellStyle name="Normal 9" xfId="79" xr:uid="{00000000-0005-0000-0000-00004C000000}"/>
    <cellStyle name="Normal_Book3" xfId="2" xr:uid="{00000000-0005-0000-0000-00004D000000}"/>
    <cellStyle name="Normal_C1.2" xfId="107" xr:uid="{00000000-0005-0000-0000-00004E000000}"/>
    <cellStyle name="Normal_Sheet2" xfId="106" xr:uid="{00000000-0005-0000-0000-00004F000000}"/>
    <cellStyle name="normální_SVK ANNHRS-novy" xfId="21" xr:uid="{00000000-0005-0000-0000-000050000000}"/>
    <cellStyle name="Percent 2" xfId="22" xr:uid="{00000000-0005-0000-0000-000051000000}"/>
    <cellStyle name="Percent 2 2" xfId="23" xr:uid="{00000000-0005-0000-0000-000052000000}"/>
    <cellStyle name="Percent 3" xfId="24" xr:uid="{00000000-0005-0000-0000-000053000000}"/>
    <cellStyle name="row" xfId="80" xr:uid="{00000000-0005-0000-0000-000054000000}"/>
    <cellStyle name="row 2" xfId="81" xr:uid="{00000000-0005-0000-0000-000055000000}"/>
    <cellStyle name="row 2 2" xfId="82" xr:uid="{00000000-0005-0000-0000-000056000000}"/>
    <cellStyle name="row 3" xfId="83" xr:uid="{00000000-0005-0000-0000-000057000000}"/>
    <cellStyle name="row_ENRLSUP5" xfId="84" xr:uid="{00000000-0005-0000-0000-000058000000}"/>
    <cellStyle name="RowCodes" xfId="85" xr:uid="{00000000-0005-0000-0000-000059000000}"/>
    <cellStyle name="Row-Col Headings" xfId="86" xr:uid="{00000000-0005-0000-0000-00005A000000}"/>
    <cellStyle name="RowTitles" xfId="87" xr:uid="{00000000-0005-0000-0000-00005B000000}"/>
    <cellStyle name="RowTitles 2" xfId="88" xr:uid="{00000000-0005-0000-0000-00005C000000}"/>
    <cellStyle name="RowTitles1-Detail" xfId="89" xr:uid="{00000000-0005-0000-0000-00005D000000}"/>
    <cellStyle name="RowTitles1-Detail 2" xfId="90" xr:uid="{00000000-0005-0000-0000-00005E000000}"/>
    <cellStyle name="RowTitles1-Detail 2 2" xfId="91" xr:uid="{00000000-0005-0000-0000-00005F000000}"/>
    <cellStyle name="RowTitles-Col2" xfId="92" xr:uid="{00000000-0005-0000-0000-000060000000}"/>
    <cellStyle name="RowTitles-Col2 2" xfId="93" xr:uid="{00000000-0005-0000-0000-000061000000}"/>
    <cellStyle name="RowTitles-Detail" xfId="94" xr:uid="{00000000-0005-0000-0000-000062000000}"/>
    <cellStyle name="RowTitles-Detail 2" xfId="95" xr:uid="{00000000-0005-0000-0000-000063000000}"/>
    <cellStyle name="RowTitles-Detail 2 2" xfId="96" xr:uid="{00000000-0005-0000-0000-000064000000}"/>
    <cellStyle name="Standaard_OESO BEL_TRANS 2010 trim 1" xfId="25" xr:uid="{00000000-0005-0000-0000-000065000000}"/>
    <cellStyle name="Standard_Tabelle3" xfId="26" xr:uid="{00000000-0005-0000-0000-000066000000}"/>
    <cellStyle name="Style8" xfId="109" xr:uid="{00000000-0005-0000-0000-000067000000}"/>
    <cellStyle name="TableStyleLight1" xfId="97" xr:uid="{00000000-0005-0000-0000-000068000000}"/>
    <cellStyle name="TableStyleLight1 2" xfId="98" xr:uid="{00000000-0005-0000-0000-000069000000}"/>
    <cellStyle name="TableStyleLight1 2 2" xfId="99" xr:uid="{00000000-0005-0000-0000-00006A000000}"/>
    <cellStyle name="TableStyleLight1 3" xfId="100" xr:uid="{00000000-0005-0000-0000-00006B000000}"/>
    <cellStyle name="TableStyleLight1 4" xfId="101" xr:uid="{00000000-0005-0000-0000-00006C000000}"/>
    <cellStyle name="temp" xfId="102" xr:uid="{00000000-0005-0000-0000-00006D000000}"/>
    <cellStyle name="title1" xfId="103" xr:uid="{00000000-0005-0000-0000-00006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118532</xdr:colOff>
      <xdr:row>6</xdr:row>
      <xdr:rowOff>85731</xdr:rowOff>
    </xdr:from>
    <xdr:to>
      <xdr:col>2</xdr:col>
      <xdr:colOff>297588</xdr:colOff>
      <xdr:row>9</xdr:row>
      <xdr:rowOff>105636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 uri="{28A0092B-C50C-407E-A947-70E740481C1C}">
              <a14:useLocalDpi xmlns:a14="http://schemas.microsoft.com/office/drawing/2010/main" val="0"/>
            </a:ext>
          </a:extLst>
        </a:blip>
        <a:srcRect b="15519"/>
        <a:stretch/>
      </xdr:blipFill>
      <xdr:spPr bwMode="auto">
        <a:xfrm>
          <a:off x="328082" y="1066806"/>
          <a:ext cx="1269986" cy="505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xdr:row>
      <xdr:rowOff>76200</xdr:rowOff>
    </xdr:from>
    <xdr:to>
      <xdr:col>2</xdr:col>
      <xdr:colOff>1246028</xdr:colOff>
      <xdr:row>5</xdr:row>
      <xdr:rowOff>48471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0" y="247650"/>
          <a:ext cx="2244248" cy="687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2619375</xdr:colOff>
          <xdr:row>22</xdr:row>
          <xdr:rowOff>47625</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3</xdr:col>
          <xdr:colOff>0</xdr:colOff>
          <xdr:row>25</xdr:row>
          <xdr:rowOff>57150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33</xdr:row>
          <xdr:rowOff>9525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0</xdr:rowOff>
        </xdr:from>
        <xdr:to>
          <xdr:col>2</xdr:col>
          <xdr:colOff>1181100</xdr:colOff>
          <xdr:row>23</xdr:row>
          <xdr:rowOff>447675</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23</xdr:row>
          <xdr:rowOff>257175</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0</xdr:rowOff>
        </xdr:from>
        <xdr:to>
          <xdr:col>2</xdr:col>
          <xdr:colOff>2057400</xdr:colOff>
          <xdr:row>23</xdr:row>
          <xdr:rowOff>257175</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2124075</xdr:colOff>
          <xdr:row>23</xdr:row>
          <xdr:rowOff>238125</xdr:rowOff>
        </xdr:to>
        <xdr:sp macro="" textlink="">
          <xdr:nvSpPr>
            <xdr:cNvPr id="2058" name="Group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24</xdr:row>
          <xdr:rowOff>57150</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190500</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190500</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23</xdr:row>
          <xdr:rowOff>257175</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0</xdr:rowOff>
        </xdr:from>
        <xdr:to>
          <xdr:col>2</xdr:col>
          <xdr:colOff>2057400</xdr:colOff>
          <xdr:row>23</xdr:row>
          <xdr:rowOff>257175</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2124075</xdr:colOff>
          <xdr:row>23</xdr:row>
          <xdr:rowOff>257175</xdr:rowOff>
        </xdr:to>
        <xdr:sp macro="" textlink="">
          <xdr:nvSpPr>
            <xdr:cNvPr id="2064" name="Group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24</xdr:row>
          <xdr:rowOff>57150</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2066" name="Group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33</xdr:row>
          <xdr:rowOff>9525</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2124075</xdr:colOff>
          <xdr:row>25</xdr:row>
          <xdr:rowOff>66675</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070" name="Group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0</xdr:rowOff>
        </xdr:from>
        <xdr:to>
          <xdr:col>2</xdr:col>
          <xdr:colOff>2600325</xdr:colOff>
          <xdr:row>25</xdr:row>
          <xdr:rowOff>66675</xdr:rowOff>
        </xdr:to>
        <xdr:sp macro="" textlink="">
          <xdr:nvSpPr>
            <xdr:cNvPr id="2071" name="Group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2619375</xdr:colOff>
          <xdr:row>33</xdr:row>
          <xdr:rowOff>133350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762000</xdr:colOff>
          <xdr:row>25</xdr:row>
          <xdr:rowOff>9525</xdr:rowOff>
        </xdr:to>
        <xdr:sp macro="" textlink="">
          <xdr:nvSpPr>
            <xdr:cNvPr id="2073" name="Group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3</xdr:col>
          <xdr:colOff>762000</xdr:colOff>
          <xdr:row>27</xdr:row>
          <xdr:rowOff>38100</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12</xdr:col>
          <xdr:colOff>0</xdr:colOff>
          <xdr:row>38</xdr:row>
          <xdr:rowOff>9525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0</xdr:rowOff>
        </xdr:from>
        <xdr:to>
          <xdr:col>3</xdr:col>
          <xdr:colOff>762000</xdr:colOff>
          <xdr:row>25</xdr:row>
          <xdr:rowOff>257175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3</xdr:col>
          <xdr:colOff>762000</xdr:colOff>
          <xdr:row>25</xdr:row>
          <xdr:rowOff>66675</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0</xdr:rowOff>
        </xdr:from>
        <xdr:to>
          <xdr:col>3</xdr:col>
          <xdr:colOff>762000</xdr:colOff>
          <xdr:row>25</xdr:row>
          <xdr:rowOff>66675</xdr:rowOff>
        </xdr:to>
        <xdr:sp macro="" textlink="">
          <xdr:nvSpPr>
            <xdr:cNvPr id="2078" name="Group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3</xdr:col>
          <xdr:colOff>762000</xdr:colOff>
          <xdr:row>25</xdr:row>
          <xdr:rowOff>47625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3</xdr:col>
          <xdr:colOff>762000</xdr:colOff>
          <xdr:row>26</xdr:row>
          <xdr:rowOff>38100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762000</xdr:colOff>
          <xdr:row>25</xdr:row>
          <xdr:rowOff>0</xdr:rowOff>
        </xdr:to>
        <xdr:sp macro="" textlink="">
          <xdr:nvSpPr>
            <xdr:cNvPr id="2081" name="Group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762000</xdr:colOff>
          <xdr:row>25</xdr:row>
          <xdr:rowOff>0</xdr:rowOff>
        </xdr:to>
        <xdr:sp macro="" textlink="">
          <xdr:nvSpPr>
            <xdr:cNvPr id="2082" name="Group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3</xdr:col>
          <xdr:colOff>762000</xdr:colOff>
          <xdr:row>25</xdr:row>
          <xdr:rowOff>66675</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0</xdr:rowOff>
        </xdr:from>
        <xdr:to>
          <xdr:col>3</xdr:col>
          <xdr:colOff>762000</xdr:colOff>
          <xdr:row>25</xdr:row>
          <xdr:rowOff>66675</xdr:rowOff>
        </xdr:to>
        <xdr:sp macro="" textlink="">
          <xdr:nvSpPr>
            <xdr:cNvPr id="2084" name="Group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3</xdr:col>
          <xdr:colOff>762000</xdr:colOff>
          <xdr:row>25</xdr:row>
          <xdr:rowOff>66675</xdr:rowOff>
        </xdr:to>
        <xdr:sp macro="" textlink="">
          <xdr:nvSpPr>
            <xdr:cNvPr id="2085" name="Group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3</xdr:col>
          <xdr:colOff>762000</xdr:colOff>
          <xdr:row>26</xdr:row>
          <xdr:rowOff>28575</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762000</xdr:colOff>
          <xdr:row>25</xdr:row>
          <xdr:rowOff>9525</xdr:rowOff>
        </xdr:to>
        <xdr:sp macro="" textlink="">
          <xdr:nvSpPr>
            <xdr:cNvPr id="2087" name="Group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12</xdr:col>
          <xdr:colOff>0</xdr:colOff>
          <xdr:row>38</xdr:row>
          <xdr:rowOff>9525</xdr:rowOff>
        </xdr:to>
        <xdr:sp macro="" textlink="">
          <xdr:nvSpPr>
            <xdr:cNvPr id="2088" name="Group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0</xdr:rowOff>
        </xdr:from>
        <xdr:to>
          <xdr:col>3</xdr:col>
          <xdr:colOff>762000</xdr:colOff>
          <xdr:row>25</xdr:row>
          <xdr:rowOff>257175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762000</xdr:colOff>
          <xdr:row>25</xdr:row>
          <xdr:rowOff>200025</xdr:rowOff>
        </xdr:to>
        <xdr:sp macro="" textlink="">
          <xdr:nvSpPr>
            <xdr:cNvPr id="2090" name="Group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762000</xdr:colOff>
          <xdr:row>25</xdr:row>
          <xdr:rowOff>200025</xdr:rowOff>
        </xdr:to>
        <xdr:sp macro="" textlink="">
          <xdr:nvSpPr>
            <xdr:cNvPr id="2091" name="Group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3</xdr:col>
          <xdr:colOff>762000</xdr:colOff>
          <xdr:row>25</xdr:row>
          <xdr:rowOff>257175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0</xdr:rowOff>
        </xdr:from>
        <xdr:to>
          <xdr:col>3</xdr:col>
          <xdr:colOff>762000</xdr:colOff>
          <xdr:row>34</xdr:row>
          <xdr:rowOff>133350</xdr:rowOff>
        </xdr:to>
        <xdr:sp macro="" textlink="">
          <xdr:nvSpPr>
            <xdr:cNvPr id="2093" name="Group Box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3</xdr:col>
          <xdr:colOff>762000</xdr:colOff>
          <xdr:row>27</xdr:row>
          <xdr:rowOff>38100</xdr:rowOff>
        </xdr:to>
        <xdr:sp macro="" textlink="">
          <xdr:nvSpPr>
            <xdr:cNvPr id="2094" name="Group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2124075</xdr:colOff>
          <xdr:row>25</xdr:row>
          <xdr:rowOff>66675</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096" name="Group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097" name="Group Box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0</xdr:rowOff>
        </xdr:from>
        <xdr:to>
          <xdr:col>2</xdr:col>
          <xdr:colOff>2600325</xdr:colOff>
          <xdr:row>25</xdr:row>
          <xdr:rowOff>66675</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2619375</xdr:colOff>
          <xdr:row>33</xdr:row>
          <xdr:rowOff>133350</xdr:rowOff>
        </xdr:to>
        <xdr:sp macro="" textlink="">
          <xdr:nvSpPr>
            <xdr:cNvPr id="2099" name="Group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2</xdr:col>
          <xdr:colOff>2619375</xdr:colOff>
          <xdr:row>28</xdr:row>
          <xdr:rowOff>180975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2</xdr:col>
          <xdr:colOff>2619375</xdr:colOff>
          <xdr:row>28</xdr:row>
          <xdr:rowOff>180975</xdr:rowOff>
        </xdr:to>
        <xdr:sp macro="" textlink="">
          <xdr:nvSpPr>
            <xdr:cNvPr id="2102" name="Group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2</xdr:col>
          <xdr:colOff>2619375</xdr:colOff>
          <xdr:row>29</xdr:row>
          <xdr:rowOff>133350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2619375</xdr:colOff>
          <xdr:row>21</xdr:row>
          <xdr:rowOff>371475</xdr:rowOff>
        </xdr:to>
        <xdr:sp macro="" textlink="">
          <xdr:nvSpPr>
            <xdr:cNvPr id="2198" name="Group Box 150" hidden="1">
              <a:extLst>
                <a:ext uri="{63B3BB69-23CF-44E3-9099-C40C66FF867C}">
                  <a14:compatExt spid="_x0000_s2198"/>
                </a:ext>
                <a:ext uri="{FF2B5EF4-FFF2-40B4-BE49-F238E27FC236}">
                  <a16:creationId xmlns:a16="http://schemas.microsoft.com/office/drawing/2014/main" id="{00000000-0008-0000-0300-00009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200025</xdr:rowOff>
        </xdr:to>
        <xdr:sp macro="" textlink="">
          <xdr:nvSpPr>
            <xdr:cNvPr id="2199" name="Group Box 151" hidden="1">
              <a:extLst>
                <a:ext uri="{63B3BB69-23CF-44E3-9099-C40C66FF867C}">
                  <a14:compatExt spid="_x0000_s2199"/>
                </a:ext>
                <a:ext uri="{FF2B5EF4-FFF2-40B4-BE49-F238E27FC236}">
                  <a16:creationId xmlns:a16="http://schemas.microsoft.com/office/drawing/2014/main" id="{00000000-0008-0000-0300-00009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3</xdr:col>
          <xdr:colOff>0</xdr:colOff>
          <xdr:row>23</xdr:row>
          <xdr:rowOff>276225</xdr:rowOff>
        </xdr:to>
        <xdr:sp macro="" textlink="">
          <xdr:nvSpPr>
            <xdr:cNvPr id="2200" name="Group Box 152" hidden="1">
              <a:extLst>
                <a:ext uri="{63B3BB69-23CF-44E3-9099-C40C66FF867C}">
                  <a14:compatExt spid="_x0000_s2200"/>
                </a:ext>
                <a:ext uri="{FF2B5EF4-FFF2-40B4-BE49-F238E27FC236}">
                  <a16:creationId xmlns:a16="http://schemas.microsoft.com/office/drawing/2014/main" id="{00000000-0008-0000-0300-00009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xdr:colOff>
          <xdr:row>23</xdr:row>
          <xdr:rowOff>447675</xdr:rowOff>
        </xdr:to>
        <xdr:sp macro="" textlink="">
          <xdr:nvSpPr>
            <xdr:cNvPr id="2201" name="Group Box 153" hidden="1">
              <a:extLst>
                <a:ext uri="{63B3BB69-23CF-44E3-9099-C40C66FF867C}">
                  <a14:compatExt spid="_x0000_s2201"/>
                </a:ext>
                <a:ext uri="{FF2B5EF4-FFF2-40B4-BE49-F238E27FC236}">
                  <a16:creationId xmlns:a16="http://schemas.microsoft.com/office/drawing/2014/main" id="{00000000-0008-0000-0300-00009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0</xdr:rowOff>
        </xdr:from>
        <xdr:to>
          <xdr:col>2</xdr:col>
          <xdr:colOff>1181100</xdr:colOff>
          <xdr:row>23</xdr:row>
          <xdr:rowOff>0</xdr:rowOff>
        </xdr:to>
        <xdr:sp macro="" textlink="">
          <xdr:nvSpPr>
            <xdr:cNvPr id="2202" name="Group Box 154" hidden="1">
              <a:extLst>
                <a:ext uri="{63B3BB69-23CF-44E3-9099-C40C66FF867C}">
                  <a14:compatExt spid="_x0000_s2202"/>
                </a:ext>
                <a:ext uri="{FF2B5EF4-FFF2-40B4-BE49-F238E27FC236}">
                  <a16:creationId xmlns:a16="http://schemas.microsoft.com/office/drawing/2014/main" id="{00000000-0008-0000-0300-00009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0</xdr:rowOff>
        </xdr:from>
        <xdr:to>
          <xdr:col>2</xdr:col>
          <xdr:colOff>2600325</xdr:colOff>
          <xdr:row>22</xdr:row>
          <xdr:rowOff>257175</xdr:rowOff>
        </xdr:to>
        <xdr:sp macro="" textlink="">
          <xdr:nvSpPr>
            <xdr:cNvPr id="2203" name="Group Box 155" hidden="1">
              <a:extLst>
                <a:ext uri="{63B3BB69-23CF-44E3-9099-C40C66FF867C}">
                  <a14:compatExt spid="_x0000_s2203"/>
                </a:ext>
                <a:ext uri="{FF2B5EF4-FFF2-40B4-BE49-F238E27FC236}">
                  <a16:creationId xmlns:a16="http://schemas.microsoft.com/office/drawing/2014/main" id="{00000000-0008-0000-0300-00009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0</xdr:rowOff>
        </xdr:from>
        <xdr:to>
          <xdr:col>2</xdr:col>
          <xdr:colOff>2057400</xdr:colOff>
          <xdr:row>22</xdr:row>
          <xdr:rowOff>257175</xdr:rowOff>
        </xdr:to>
        <xdr:sp macro="" textlink="">
          <xdr:nvSpPr>
            <xdr:cNvPr id="2204" name="Group Box 156" hidden="1">
              <a:extLst>
                <a:ext uri="{63B3BB69-23CF-44E3-9099-C40C66FF867C}">
                  <a14:compatExt spid="_x0000_s2204"/>
                </a:ext>
                <a:ext uri="{FF2B5EF4-FFF2-40B4-BE49-F238E27FC236}">
                  <a16:creationId xmlns:a16="http://schemas.microsoft.com/office/drawing/2014/main" id="{00000000-0008-0000-0300-00009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0</xdr:rowOff>
        </xdr:from>
        <xdr:to>
          <xdr:col>2</xdr:col>
          <xdr:colOff>2124075</xdr:colOff>
          <xdr:row>22</xdr:row>
          <xdr:rowOff>238125</xdr:rowOff>
        </xdr:to>
        <xdr:sp macro="" textlink="">
          <xdr:nvSpPr>
            <xdr:cNvPr id="2205" name="Group Box 157" hidden="1">
              <a:extLst>
                <a:ext uri="{63B3BB69-23CF-44E3-9099-C40C66FF867C}">
                  <a14:compatExt spid="_x0000_s2205"/>
                </a:ext>
                <a:ext uri="{FF2B5EF4-FFF2-40B4-BE49-F238E27FC236}">
                  <a16:creationId xmlns:a16="http://schemas.microsoft.com/office/drawing/2014/main" id="{00000000-0008-0000-0300-00009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2619375</xdr:colOff>
          <xdr:row>23</xdr:row>
          <xdr:rowOff>104775</xdr:rowOff>
        </xdr:to>
        <xdr:sp macro="" textlink="">
          <xdr:nvSpPr>
            <xdr:cNvPr id="2206" name="Group Box 158" hidden="1">
              <a:extLst>
                <a:ext uri="{63B3BB69-23CF-44E3-9099-C40C66FF867C}">
                  <a14:compatExt spid="_x0000_s2206"/>
                </a:ext>
                <a:ext uri="{FF2B5EF4-FFF2-40B4-BE49-F238E27FC236}">
                  <a16:creationId xmlns:a16="http://schemas.microsoft.com/office/drawing/2014/main" id="{00000000-0008-0000-0300-00009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190500</xdr:rowOff>
        </xdr:to>
        <xdr:sp macro="" textlink="">
          <xdr:nvSpPr>
            <xdr:cNvPr id="2207" name="Group Box 159" hidden="1">
              <a:extLst>
                <a:ext uri="{63B3BB69-23CF-44E3-9099-C40C66FF867C}">
                  <a14:compatExt spid="_x0000_s2207"/>
                </a:ext>
                <a:ext uri="{FF2B5EF4-FFF2-40B4-BE49-F238E27FC236}">
                  <a16:creationId xmlns:a16="http://schemas.microsoft.com/office/drawing/2014/main" id="{00000000-0008-0000-0300-00009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190500</xdr:rowOff>
        </xdr:to>
        <xdr:sp macro="" textlink="">
          <xdr:nvSpPr>
            <xdr:cNvPr id="2208" name="Group Box 160" hidden="1">
              <a:extLst>
                <a:ext uri="{63B3BB69-23CF-44E3-9099-C40C66FF867C}">
                  <a14:compatExt spid="_x0000_s2208"/>
                </a:ext>
                <a:ext uri="{FF2B5EF4-FFF2-40B4-BE49-F238E27FC236}">
                  <a16:creationId xmlns:a16="http://schemas.microsoft.com/office/drawing/2014/main" id="{00000000-0008-0000-0300-0000A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0</xdr:rowOff>
        </xdr:from>
        <xdr:to>
          <xdr:col>2</xdr:col>
          <xdr:colOff>2600325</xdr:colOff>
          <xdr:row>22</xdr:row>
          <xdr:rowOff>257175</xdr:rowOff>
        </xdr:to>
        <xdr:sp macro="" textlink="">
          <xdr:nvSpPr>
            <xdr:cNvPr id="2209" name="Group Box 161" hidden="1">
              <a:extLst>
                <a:ext uri="{63B3BB69-23CF-44E3-9099-C40C66FF867C}">
                  <a14:compatExt spid="_x0000_s2209"/>
                </a:ext>
                <a:ext uri="{FF2B5EF4-FFF2-40B4-BE49-F238E27FC236}">
                  <a16:creationId xmlns:a16="http://schemas.microsoft.com/office/drawing/2014/main" id="{00000000-0008-0000-0300-0000A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0</xdr:rowOff>
        </xdr:from>
        <xdr:to>
          <xdr:col>2</xdr:col>
          <xdr:colOff>2057400</xdr:colOff>
          <xdr:row>22</xdr:row>
          <xdr:rowOff>257175</xdr:rowOff>
        </xdr:to>
        <xdr:sp macro="" textlink="">
          <xdr:nvSpPr>
            <xdr:cNvPr id="2210" name="Group Box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0</xdr:rowOff>
        </xdr:from>
        <xdr:to>
          <xdr:col>2</xdr:col>
          <xdr:colOff>2124075</xdr:colOff>
          <xdr:row>22</xdr:row>
          <xdr:rowOff>257175</xdr:rowOff>
        </xdr:to>
        <xdr:sp macro="" textlink="">
          <xdr:nvSpPr>
            <xdr:cNvPr id="2211" name="Group Box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2619375</xdr:colOff>
          <xdr:row>23</xdr:row>
          <xdr:rowOff>85725</xdr:rowOff>
        </xdr:to>
        <xdr:sp macro="" textlink="">
          <xdr:nvSpPr>
            <xdr:cNvPr id="2212" name="Group Box 164" hidden="1">
              <a:extLst>
                <a:ext uri="{63B3BB69-23CF-44E3-9099-C40C66FF867C}">
                  <a14:compatExt spid="_x0000_s2212"/>
                </a:ext>
                <a:ext uri="{FF2B5EF4-FFF2-40B4-BE49-F238E27FC236}">
                  <a16:creationId xmlns:a16="http://schemas.microsoft.com/office/drawing/2014/main" id="{00000000-0008-0000-0300-0000A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200025</xdr:rowOff>
        </xdr:to>
        <xdr:sp macro="" textlink="">
          <xdr:nvSpPr>
            <xdr:cNvPr id="2213" name="Group Box 165" hidden="1">
              <a:extLst>
                <a:ext uri="{63B3BB69-23CF-44E3-9099-C40C66FF867C}">
                  <a14:compatExt spid="_x0000_s2213"/>
                </a:ext>
                <a:ext uri="{FF2B5EF4-FFF2-40B4-BE49-F238E27FC236}">
                  <a16:creationId xmlns:a16="http://schemas.microsoft.com/office/drawing/2014/main" id="{00000000-0008-0000-0300-0000A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xdr:colOff>
          <xdr:row>23</xdr:row>
          <xdr:rowOff>447675</xdr:rowOff>
        </xdr:to>
        <xdr:sp macro="" textlink="">
          <xdr:nvSpPr>
            <xdr:cNvPr id="2214" name="Group Box 166" hidden="1">
              <a:extLst>
                <a:ext uri="{63B3BB69-23CF-44E3-9099-C40C66FF867C}">
                  <a14:compatExt spid="_x0000_s2214"/>
                </a:ext>
                <a:ext uri="{FF2B5EF4-FFF2-40B4-BE49-F238E27FC236}">
                  <a16:creationId xmlns:a16="http://schemas.microsoft.com/office/drawing/2014/main" id="{00000000-0008-0000-0300-0000A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2124075</xdr:colOff>
          <xdr:row>23</xdr:row>
          <xdr:rowOff>257175</xdr:rowOff>
        </xdr:to>
        <xdr:sp macro="" textlink="">
          <xdr:nvSpPr>
            <xdr:cNvPr id="2215" name="Group Box 167" hidden="1">
              <a:extLst>
                <a:ext uri="{63B3BB69-23CF-44E3-9099-C40C66FF867C}">
                  <a14:compatExt spid="_x0000_s2215"/>
                </a:ext>
                <a:ext uri="{FF2B5EF4-FFF2-40B4-BE49-F238E27FC236}">
                  <a16:creationId xmlns:a16="http://schemas.microsoft.com/office/drawing/2014/main" id="{00000000-0008-0000-0300-0000A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2216" name="Group Box 168" hidden="1">
              <a:extLst>
                <a:ext uri="{63B3BB69-23CF-44E3-9099-C40C66FF867C}">
                  <a14:compatExt spid="_x0000_s2216"/>
                </a:ext>
                <a:ext uri="{FF2B5EF4-FFF2-40B4-BE49-F238E27FC236}">
                  <a16:creationId xmlns:a16="http://schemas.microsoft.com/office/drawing/2014/main" id="{00000000-0008-0000-0300-0000A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2217" name="Group Box 169" hidden="1">
              <a:extLst>
                <a:ext uri="{63B3BB69-23CF-44E3-9099-C40C66FF867C}">
                  <a14:compatExt spid="_x0000_s2217"/>
                </a:ext>
                <a:ext uri="{FF2B5EF4-FFF2-40B4-BE49-F238E27FC236}">
                  <a16:creationId xmlns:a16="http://schemas.microsoft.com/office/drawing/2014/main" id="{00000000-0008-0000-0300-0000A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23</xdr:row>
          <xdr:rowOff>257175</xdr:rowOff>
        </xdr:to>
        <xdr:sp macro="" textlink="">
          <xdr:nvSpPr>
            <xdr:cNvPr id="2218" name="Group Box 170" hidden="1">
              <a:extLst>
                <a:ext uri="{63B3BB69-23CF-44E3-9099-C40C66FF867C}">
                  <a14:compatExt spid="_x0000_s2218"/>
                </a:ext>
                <a:ext uri="{FF2B5EF4-FFF2-40B4-BE49-F238E27FC236}">
                  <a16:creationId xmlns:a16="http://schemas.microsoft.com/office/drawing/2014/main" id="{00000000-0008-0000-0300-0000A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24</xdr:row>
          <xdr:rowOff>57150</xdr:rowOff>
        </xdr:to>
        <xdr:sp macro="" textlink="">
          <xdr:nvSpPr>
            <xdr:cNvPr id="2219" name="Group Box 171" hidden="1">
              <a:extLst>
                <a:ext uri="{63B3BB69-23CF-44E3-9099-C40C66FF867C}">
                  <a14:compatExt spid="_x0000_s2219"/>
                </a:ext>
                <a:ext uri="{FF2B5EF4-FFF2-40B4-BE49-F238E27FC236}">
                  <a16:creationId xmlns:a16="http://schemas.microsoft.com/office/drawing/2014/main" id="{00000000-0008-0000-0300-0000A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2124075</xdr:colOff>
          <xdr:row>23</xdr:row>
          <xdr:rowOff>257175</xdr:rowOff>
        </xdr:to>
        <xdr:sp macro="" textlink="">
          <xdr:nvSpPr>
            <xdr:cNvPr id="2220" name="Group Box 172" hidden="1">
              <a:extLst>
                <a:ext uri="{63B3BB69-23CF-44E3-9099-C40C66FF867C}">
                  <a14:compatExt spid="_x0000_s2220"/>
                </a:ext>
                <a:ext uri="{FF2B5EF4-FFF2-40B4-BE49-F238E27FC236}">
                  <a16:creationId xmlns:a16="http://schemas.microsoft.com/office/drawing/2014/main" id="{00000000-0008-0000-0300-0000A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2221" name="Group Box 173" hidden="1">
              <a:extLst>
                <a:ext uri="{63B3BB69-23CF-44E3-9099-C40C66FF867C}">
                  <a14:compatExt spid="_x0000_s2221"/>
                </a:ext>
                <a:ext uri="{FF2B5EF4-FFF2-40B4-BE49-F238E27FC236}">
                  <a16:creationId xmlns:a16="http://schemas.microsoft.com/office/drawing/2014/main" id="{00000000-0008-0000-0300-0000A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2222" name="Group Box 174" hidden="1">
              <a:extLst>
                <a:ext uri="{63B3BB69-23CF-44E3-9099-C40C66FF867C}">
                  <a14:compatExt spid="_x0000_s2222"/>
                </a:ext>
                <a:ext uri="{FF2B5EF4-FFF2-40B4-BE49-F238E27FC236}">
                  <a16:creationId xmlns:a16="http://schemas.microsoft.com/office/drawing/2014/main" id="{00000000-0008-0000-0300-0000A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23</xdr:row>
          <xdr:rowOff>257175</xdr:rowOff>
        </xdr:to>
        <xdr:sp macro="" textlink="">
          <xdr:nvSpPr>
            <xdr:cNvPr id="2223" name="Group Box 175" hidden="1">
              <a:extLst>
                <a:ext uri="{63B3BB69-23CF-44E3-9099-C40C66FF867C}">
                  <a14:compatExt spid="_x0000_s2223"/>
                </a:ext>
                <a:ext uri="{FF2B5EF4-FFF2-40B4-BE49-F238E27FC236}">
                  <a16:creationId xmlns:a16="http://schemas.microsoft.com/office/drawing/2014/main" id="{00000000-0008-0000-0300-0000A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24</xdr:row>
          <xdr:rowOff>57150</xdr:rowOff>
        </xdr:to>
        <xdr:sp macro="" textlink="">
          <xdr:nvSpPr>
            <xdr:cNvPr id="2224" name="Group Box 176" hidden="1">
              <a:extLst>
                <a:ext uri="{63B3BB69-23CF-44E3-9099-C40C66FF867C}">
                  <a14:compatExt spid="_x0000_s2224"/>
                </a:ext>
                <a:ext uri="{FF2B5EF4-FFF2-40B4-BE49-F238E27FC236}">
                  <a16:creationId xmlns:a16="http://schemas.microsoft.com/office/drawing/2014/main" id="{00000000-0008-0000-0300-0000B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2619375</xdr:colOff>
          <xdr:row>28</xdr:row>
          <xdr:rowOff>133350</xdr:rowOff>
        </xdr:to>
        <xdr:sp macro="" textlink="">
          <xdr:nvSpPr>
            <xdr:cNvPr id="2225" name="Group Box 177" hidden="1">
              <a:extLst>
                <a:ext uri="{63B3BB69-23CF-44E3-9099-C40C66FF867C}">
                  <a14:compatExt spid="_x0000_s2225"/>
                </a:ext>
                <a:ext uri="{FF2B5EF4-FFF2-40B4-BE49-F238E27FC236}">
                  <a16:creationId xmlns:a16="http://schemas.microsoft.com/office/drawing/2014/main" id="{00000000-0008-0000-0300-0000B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2619375</xdr:colOff>
          <xdr:row>21</xdr:row>
          <xdr:rowOff>533400</xdr:rowOff>
        </xdr:to>
        <xdr:sp macro="" textlink="">
          <xdr:nvSpPr>
            <xdr:cNvPr id="2226" name="Group Box 178" hidden="1">
              <a:extLst>
                <a:ext uri="{63B3BB69-23CF-44E3-9099-C40C66FF867C}">
                  <a14:compatExt spid="_x0000_s2226"/>
                </a:ext>
                <a:ext uri="{FF2B5EF4-FFF2-40B4-BE49-F238E27FC236}">
                  <a16:creationId xmlns:a16="http://schemas.microsoft.com/office/drawing/2014/main" id="{00000000-0008-0000-0300-0000B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2619375</xdr:colOff>
          <xdr:row>21</xdr:row>
          <xdr:rowOff>533400</xdr:rowOff>
        </xdr:to>
        <xdr:sp macro="" textlink="">
          <xdr:nvSpPr>
            <xdr:cNvPr id="2227" name="Group Box 179" hidden="1">
              <a:extLst>
                <a:ext uri="{63B3BB69-23CF-44E3-9099-C40C66FF867C}">
                  <a14:compatExt spid="_x0000_s2227"/>
                </a:ext>
                <a:ext uri="{FF2B5EF4-FFF2-40B4-BE49-F238E27FC236}">
                  <a16:creationId xmlns:a16="http://schemas.microsoft.com/office/drawing/2014/main" id="{00000000-0008-0000-0300-0000B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2228" name="Group Box 180" hidden="1">
              <a:extLst>
                <a:ext uri="{63B3BB69-23CF-44E3-9099-C40C66FF867C}">
                  <a14:compatExt spid="_x0000_s2228"/>
                </a:ext>
                <a:ext uri="{FF2B5EF4-FFF2-40B4-BE49-F238E27FC236}">
                  <a16:creationId xmlns:a16="http://schemas.microsoft.com/office/drawing/2014/main" id="{00000000-0008-0000-0300-0000B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3</xdr:col>
          <xdr:colOff>0</xdr:colOff>
          <xdr:row>25</xdr:row>
          <xdr:rowOff>57150</xdr:rowOff>
        </xdr:to>
        <xdr:sp macro="" textlink="">
          <xdr:nvSpPr>
            <xdr:cNvPr id="2229" name="Group Box 181" hidden="1">
              <a:extLst>
                <a:ext uri="{63B3BB69-23CF-44E3-9099-C40C66FF867C}">
                  <a14:compatExt spid="_x0000_s2229"/>
                </a:ext>
                <a:ext uri="{FF2B5EF4-FFF2-40B4-BE49-F238E27FC236}">
                  <a16:creationId xmlns:a16="http://schemas.microsoft.com/office/drawing/2014/main" id="{00000000-0008-0000-0300-0000B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25</xdr:row>
          <xdr:rowOff>209550</xdr:rowOff>
        </xdr:to>
        <xdr:sp macro="" textlink="">
          <xdr:nvSpPr>
            <xdr:cNvPr id="2230" name="Group Box 182" hidden="1">
              <a:extLst>
                <a:ext uri="{63B3BB69-23CF-44E3-9099-C40C66FF867C}">
                  <a14:compatExt spid="_x0000_s2230"/>
                </a:ext>
                <a:ext uri="{FF2B5EF4-FFF2-40B4-BE49-F238E27FC236}">
                  <a16:creationId xmlns:a16="http://schemas.microsoft.com/office/drawing/2014/main" id="{00000000-0008-0000-0300-0000B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0</xdr:rowOff>
        </xdr:from>
        <xdr:to>
          <xdr:col>2</xdr:col>
          <xdr:colOff>1181100</xdr:colOff>
          <xdr:row>23</xdr:row>
          <xdr:rowOff>333375</xdr:rowOff>
        </xdr:to>
        <xdr:sp macro="" textlink="">
          <xdr:nvSpPr>
            <xdr:cNvPr id="2231" name="Group Box 183" hidden="1">
              <a:extLst>
                <a:ext uri="{63B3BB69-23CF-44E3-9099-C40C66FF867C}">
                  <a14:compatExt spid="_x0000_s2231"/>
                </a:ext>
                <a:ext uri="{FF2B5EF4-FFF2-40B4-BE49-F238E27FC236}">
                  <a16:creationId xmlns:a16="http://schemas.microsoft.com/office/drawing/2014/main" id="{00000000-0008-0000-0300-0000B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23</xdr:row>
          <xdr:rowOff>257175</xdr:rowOff>
        </xdr:to>
        <xdr:sp macro="" textlink="">
          <xdr:nvSpPr>
            <xdr:cNvPr id="2232" name="Group Box 184" hidden="1">
              <a:extLst>
                <a:ext uri="{63B3BB69-23CF-44E3-9099-C40C66FF867C}">
                  <a14:compatExt spid="_x0000_s2232"/>
                </a:ext>
                <a:ext uri="{FF2B5EF4-FFF2-40B4-BE49-F238E27FC236}">
                  <a16:creationId xmlns:a16="http://schemas.microsoft.com/office/drawing/2014/main" id="{00000000-0008-0000-0300-0000B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0</xdr:rowOff>
        </xdr:from>
        <xdr:to>
          <xdr:col>2</xdr:col>
          <xdr:colOff>2057400</xdr:colOff>
          <xdr:row>23</xdr:row>
          <xdr:rowOff>257175</xdr:rowOff>
        </xdr:to>
        <xdr:sp macro="" textlink="">
          <xdr:nvSpPr>
            <xdr:cNvPr id="2233" name="Group Box 185" hidden="1">
              <a:extLst>
                <a:ext uri="{63B3BB69-23CF-44E3-9099-C40C66FF867C}">
                  <a14:compatExt spid="_x0000_s2233"/>
                </a:ext>
                <a:ext uri="{FF2B5EF4-FFF2-40B4-BE49-F238E27FC236}">
                  <a16:creationId xmlns:a16="http://schemas.microsoft.com/office/drawing/2014/main" id="{00000000-0008-0000-0300-0000B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2124075</xdr:colOff>
          <xdr:row>23</xdr:row>
          <xdr:rowOff>238125</xdr:rowOff>
        </xdr:to>
        <xdr:sp macro="" textlink="">
          <xdr:nvSpPr>
            <xdr:cNvPr id="2234" name="Group Box 186" hidden="1">
              <a:extLst>
                <a:ext uri="{63B3BB69-23CF-44E3-9099-C40C66FF867C}">
                  <a14:compatExt spid="_x0000_s2234"/>
                </a:ext>
                <a:ext uri="{FF2B5EF4-FFF2-40B4-BE49-F238E27FC236}">
                  <a16:creationId xmlns:a16="http://schemas.microsoft.com/office/drawing/2014/main" id="{00000000-0008-0000-0300-0000B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24</xdr:row>
          <xdr:rowOff>57150</xdr:rowOff>
        </xdr:to>
        <xdr:sp macro="" textlink="">
          <xdr:nvSpPr>
            <xdr:cNvPr id="2235" name="Group Box 187" hidden="1">
              <a:extLst>
                <a:ext uri="{63B3BB69-23CF-44E3-9099-C40C66FF867C}">
                  <a14:compatExt spid="_x0000_s2235"/>
                </a:ext>
                <a:ext uri="{FF2B5EF4-FFF2-40B4-BE49-F238E27FC236}">
                  <a16:creationId xmlns:a16="http://schemas.microsoft.com/office/drawing/2014/main" id="{00000000-0008-0000-0300-0000B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190500</xdr:rowOff>
        </xdr:to>
        <xdr:sp macro="" textlink="">
          <xdr:nvSpPr>
            <xdr:cNvPr id="2236" name="Group Box 188" hidden="1">
              <a:extLst>
                <a:ext uri="{63B3BB69-23CF-44E3-9099-C40C66FF867C}">
                  <a14:compatExt spid="_x0000_s2236"/>
                </a:ext>
                <a:ext uri="{FF2B5EF4-FFF2-40B4-BE49-F238E27FC236}">
                  <a16:creationId xmlns:a16="http://schemas.microsoft.com/office/drawing/2014/main" id="{00000000-0008-0000-0300-0000B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190500</xdr:rowOff>
        </xdr:to>
        <xdr:sp macro="" textlink="">
          <xdr:nvSpPr>
            <xdr:cNvPr id="2237" name="Group Box 189" hidden="1">
              <a:extLst>
                <a:ext uri="{63B3BB69-23CF-44E3-9099-C40C66FF867C}">
                  <a14:compatExt spid="_x0000_s2237"/>
                </a:ext>
                <a:ext uri="{FF2B5EF4-FFF2-40B4-BE49-F238E27FC236}">
                  <a16:creationId xmlns:a16="http://schemas.microsoft.com/office/drawing/2014/main" id="{00000000-0008-0000-0300-0000B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23</xdr:row>
          <xdr:rowOff>257175</xdr:rowOff>
        </xdr:to>
        <xdr:sp macro="" textlink="">
          <xdr:nvSpPr>
            <xdr:cNvPr id="2238" name="Group Box 190" hidden="1">
              <a:extLst>
                <a:ext uri="{63B3BB69-23CF-44E3-9099-C40C66FF867C}">
                  <a14:compatExt spid="_x0000_s2238"/>
                </a:ext>
                <a:ext uri="{FF2B5EF4-FFF2-40B4-BE49-F238E27FC236}">
                  <a16:creationId xmlns:a16="http://schemas.microsoft.com/office/drawing/2014/main" id="{00000000-0008-0000-0300-0000B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0</xdr:rowOff>
        </xdr:from>
        <xdr:to>
          <xdr:col>2</xdr:col>
          <xdr:colOff>2057400</xdr:colOff>
          <xdr:row>23</xdr:row>
          <xdr:rowOff>257175</xdr:rowOff>
        </xdr:to>
        <xdr:sp macro="" textlink="">
          <xdr:nvSpPr>
            <xdr:cNvPr id="2239" name="Group Box 191" hidden="1">
              <a:extLst>
                <a:ext uri="{63B3BB69-23CF-44E3-9099-C40C66FF867C}">
                  <a14:compatExt spid="_x0000_s2239"/>
                </a:ext>
                <a:ext uri="{FF2B5EF4-FFF2-40B4-BE49-F238E27FC236}">
                  <a16:creationId xmlns:a16="http://schemas.microsoft.com/office/drawing/2014/main" id="{00000000-0008-0000-0300-0000B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2124075</xdr:colOff>
          <xdr:row>23</xdr:row>
          <xdr:rowOff>257175</xdr:rowOff>
        </xdr:to>
        <xdr:sp macro="" textlink="">
          <xdr:nvSpPr>
            <xdr:cNvPr id="2240" name="Group Box 192" hidden="1">
              <a:extLst>
                <a:ext uri="{63B3BB69-23CF-44E3-9099-C40C66FF867C}">
                  <a14:compatExt spid="_x0000_s2240"/>
                </a:ext>
                <a:ext uri="{FF2B5EF4-FFF2-40B4-BE49-F238E27FC236}">
                  <a16:creationId xmlns:a16="http://schemas.microsoft.com/office/drawing/2014/main" id="{00000000-0008-0000-0300-0000C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24</xdr:row>
          <xdr:rowOff>57150</xdr:rowOff>
        </xdr:to>
        <xdr:sp macro="" textlink="">
          <xdr:nvSpPr>
            <xdr:cNvPr id="2241" name="Group Box 193" hidden="1">
              <a:extLst>
                <a:ext uri="{63B3BB69-23CF-44E3-9099-C40C66FF867C}">
                  <a14:compatExt spid="_x0000_s2241"/>
                </a:ext>
                <a:ext uri="{FF2B5EF4-FFF2-40B4-BE49-F238E27FC236}">
                  <a16:creationId xmlns:a16="http://schemas.microsoft.com/office/drawing/2014/main" id="{00000000-0008-0000-0300-0000C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2242" name="Group Box 194" hidden="1">
              <a:extLst>
                <a:ext uri="{63B3BB69-23CF-44E3-9099-C40C66FF867C}">
                  <a14:compatExt spid="_x0000_s2242"/>
                </a:ext>
                <a:ext uri="{FF2B5EF4-FFF2-40B4-BE49-F238E27FC236}">
                  <a16:creationId xmlns:a16="http://schemas.microsoft.com/office/drawing/2014/main" id="{00000000-0008-0000-0300-0000C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25</xdr:row>
          <xdr:rowOff>209550</xdr:rowOff>
        </xdr:to>
        <xdr:sp macro="" textlink="">
          <xdr:nvSpPr>
            <xdr:cNvPr id="2243" name="Group Box 195" hidden="1">
              <a:extLst>
                <a:ext uri="{63B3BB69-23CF-44E3-9099-C40C66FF867C}">
                  <a14:compatExt spid="_x0000_s2243"/>
                </a:ext>
                <a:ext uri="{FF2B5EF4-FFF2-40B4-BE49-F238E27FC236}">
                  <a16:creationId xmlns:a16="http://schemas.microsoft.com/office/drawing/2014/main" id="{00000000-0008-0000-0300-0000C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200025</xdr:rowOff>
        </xdr:to>
        <xdr:sp macro="" textlink="">
          <xdr:nvSpPr>
            <xdr:cNvPr id="2244" name="Group Box 196" hidden="1">
              <a:extLst>
                <a:ext uri="{63B3BB69-23CF-44E3-9099-C40C66FF867C}">
                  <a14:compatExt spid="_x0000_s2244"/>
                </a:ext>
                <a:ext uri="{FF2B5EF4-FFF2-40B4-BE49-F238E27FC236}">
                  <a16:creationId xmlns:a16="http://schemas.microsoft.com/office/drawing/2014/main" id="{00000000-0008-0000-0300-0000C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3</xdr:col>
          <xdr:colOff>0</xdr:colOff>
          <xdr:row>22</xdr:row>
          <xdr:rowOff>76200</xdr:rowOff>
        </xdr:to>
        <xdr:sp macro="" textlink="">
          <xdr:nvSpPr>
            <xdr:cNvPr id="2245" name="Group Box 197" hidden="1">
              <a:extLst>
                <a:ext uri="{63B3BB69-23CF-44E3-9099-C40C66FF867C}">
                  <a14:compatExt spid="_x0000_s2245"/>
                </a:ext>
                <a:ext uri="{FF2B5EF4-FFF2-40B4-BE49-F238E27FC236}">
                  <a16:creationId xmlns:a16="http://schemas.microsoft.com/office/drawing/2014/main" id="{00000000-0008-0000-0300-0000C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9525</xdr:colOff>
          <xdr:row>22</xdr:row>
          <xdr:rowOff>238125</xdr:rowOff>
        </xdr:to>
        <xdr:sp macro="" textlink="">
          <xdr:nvSpPr>
            <xdr:cNvPr id="2246" name="Group Box 198" hidden="1">
              <a:extLst>
                <a:ext uri="{63B3BB69-23CF-44E3-9099-C40C66FF867C}">
                  <a14:compatExt spid="_x0000_s2246"/>
                </a:ext>
                <a:ext uri="{FF2B5EF4-FFF2-40B4-BE49-F238E27FC236}">
                  <a16:creationId xmlns:a16="http://schemas.microsoft.com/office/drawing/2014/main" id="{00000000-0008-0000-0300-0000C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0</xdr:rowOff>
        </xdr:from>
        <xdr:to>
          <xdr:col>2</xdr:col>
          <xdr:colOff>1181100</xdr:colOff>
          <xdr:row>21</xdr:row>
          <xdr:rowOff>333375</xdr:rowOff>
        </xdr:to>
        <xdr:sp macro="" textlink="">
          <xdr:nvSpPr>
            <xdr:cNvPr id="2247" name="Group Box 199" hidden="1">
              <a:extLst>
                <a:ext uri="{63B3BB69-23CF-44E3-9099-C40C66FF867C}">
                  <a14:compatExt spid="_x0000_s2247"/>
                </a:ext>
                <a:ext uri="{FF2B5EF4-FFF2-40B4-BE49-F238E27FC236}">
                  <a16:creationId xmlns:a16="http://schemas.microsoft.com/office/drawing/2014/main" id="{00000000-0008-0000-0300-0000C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0</xdr:rowOff>
        </xdr:from>
        <xdr:to>
          <xdr:col>2</xdr:col>
          <xdr:colOff>2600325</xdr:colOff>
          <xdr:row>21</xdr:row>
          <xdr:rowOff>257175</xdr:rowOff>
        </xdr:to>
        <xdr:sp macro="" textlink="">
          <xdr:nvSpPr>
            <xdr:cNvPr id="2248" name="Group Box 200" hidden="1">
              <a:extLst>
                <a:ext uri="{63B3BB69-23CF-44E3-9099-C40C66FF867C}">
                  <a14:compatExt spid="_x0000_s2248"/>
                </a:ext>
                <a:ext uri="{FF2B5EF4-FFF2-40B4-BE49-F238E27FC236}">
                  <a16:creationId xmlns:a16="http://schemas.microsoft.com/office/drawing/2014/main" id="{00000000-0008-0000-0300-0000C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0</xdr:rowOff>
        </xdr:from>
        <xdr:to>
          <xdr:col>2</xdr:col>
          <xdr:colOff>2057400</xdr:colOff>
          <xdr:row>21</xdr:row>
          <xdr:rowOff>257175</xdr:rowOff>
        </xdr:to>
        <xdr:sp macro="" textlink="">
          <xdr:nvSpPr>
            <xdr:cNvPr id="2249" name="Group Box 201" hidden="1">
              <a:extLst>
                <a:ext uri="{63B3BB69-23CF-44E3-9099-C40C66FF867C}">
                  <a14:compatExt spid="_x0000_s2249"/>
                </a:ext>
                <a:ext uri="{FF2B5EF4-FFF2-40B4-BE49-F238E27FC236}">
                  <a16:creationId xmlns:a16="http://schemas.microsoft.com/office/drawing/2014/main" id="{00000000-0008-0000-0300-0000C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0</xdr:rowOff>
        </xdr:from>
        <xdr:to>
          <xdr:col>2</xdr:col>
          <xdr:colOff>2124075</xdr:colOff>
          <xdr:row>21</xdr:row>
          <xdr:rowOff>238125</xdr:rowOff>
        </xdr:to>
        <xdr:sp macro="" textlink="">
          <xdr:nvSpPr>
            <xdr:cNvPr id="2250" name="Group Box 202" hidden="1">
              <a:extLst>
                <a:ext uri="{63B3BB69-23CF-44E3-9099-C40C66FF867C}">
                  <a14:compatExt spid="_x0000_s2250"/>
                </a:ext>
                <a:ext uri="{FF2B5EF4-FFF2-40B4-BE49-F238E27FC236}">
                  <a16:creationId xmlns:a16="http://schemas.microsoft.com/office/drawing/2014/main" id="{00000000-0008-0000-0300-0000C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2619375</xdr:colOff>
          <xdr:row>21</xdr:row>
          <xdr:rowOff>542925</xdr:rowOff>
        </xdr:to>
        <xdr:sp macro="" textlink="">
          <xdr:nvSpPr>
            <xdr:cNvPr id="2251" name="Group Box 203" hidden="1">
              <a:extLst>
                <a:ext uri="{63B3BB69-23CF-44E3-9099-C40C66FF867C}">
                  <a14:compatExt spid="_x0000_s2251"/>
                </a:ext>
                <a:ext uri="{FF2B5EF4-FFF2-40B4-BE49-F238E27FC236}">
                  <a16:creationId xmlns:a16="http://schemas.microsoft.com/office/drawing/2014/main" id="{00000000-0008-0000-0300-0000C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190500</xdr:rowOff>
        </xdr:to>
        <xdr:sp macro="" textlink="">
          <xdr:nvSpPr>
            <xdr:cNvPr id="2252" name="Group Box 204" hidden="1">
              <a:extLst>
                <a:ext uri="{63B3BB69-23CF-44E3-9099-C40C66FF867C}">
                  <a14:compatExt spid="_x0000_s2252"/>
                </a:ext>
                <a:ext uri="{FF2B5EF4-FFF2-40B4-BE49-F238E27FC236}">
                  <a16:creationId xmlns:a16="http://schemas.microsoft.com/office/drawing/2014/main" id="{00000000-0008-0000-0300-0000C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190500</xdr:rowOff>
        </xdr:to>
        <xdr:sp macro="" textlink="">
          <xdr:nvSpPr>
            <xdr:cNvPr id="2253" name="Group Box 205" hidden="1">
              <a:extLst>
                <a:ext uri="{63B3BB69-23CF-44E3-9099-C40C66FF867C}">
                  <a14:compatExt spid="_x0000_s2253"/>
                </a:ext>
                <a:ext uri="{FF2B5EF4-FFF2-40B4-BE49-F238E27FC236}">
                  <a16:creationId xmlns:a16="http://schemas.microsoft.com/office/drawing/2014/main" id="{00000000-0008-0000-0300-0000C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0</xdr:rowOff>
        </xdr:from>
        <xdr:to>
          <xdr:col>2</xdr:col>
          <xdr:colOff>2600325</xdr:colOff>
          <xdr:row>21</xdr:row>
          <xdr:rowOff>257175</xdr:rowOff>
        </xdr:to>
        <xdr:sp macro="" textlink="">
          <xdr:nvSpPr>
            <xdr:cNvPr id="2254" name="Group Box 206" hidden="1">
              <a:extLst>
                <a:ext uri="{63B3BB69-23CF-44E3-9099-C40C66FF867C}">
                  <a14:compatExt spid="_x0000_s2254"/>
                </a:ext>
                <a:ext uri="{FF2B5EF4-FFF2-40B4-BE49-F238E27FC236}">
                  <a16:creationId xmlns:a16="http://schemas.microsoft.com/office/drawing/2014/main" id="{00000000-0008-0000-0300-0000C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0</xdr:rowOff>
        </xdr:from>
        <xdr:to>
          <xdr:col>2</xdr:col>
          <xdr:colOff>2057400</xdr:colOff>
          <xdr:row>21</xdr:row>
          <xdr:rowOff>257175</xdr:rowOff>
        </xdr:to>
        <xdr:sp macro="" textlink="">
          <xdr:nvSpPr>
            <xdr:cNvPr id="2255" name="Group Box 207" hidden="1">
              <a:extLst>
                <a:ext uri="{63B3BB69-23CF-44E3-9099-C40C66FF867C}">
                  <a14:compatExt spid="_x0000_s2255"/>
                </a:ext>
                <a:ext uri="{FF2B5EF4-FFF2-40B4-BE49-F238E27FC236}">
                  <a16:creationId xmlns:a16="http://schemas.microsoft.com/office/drawing/2014/main" id="{00000000-0008-0000-0300-0000C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0</xdr:rowOff>
        </xdr:from>
        <xdr:to>
          <xdr:col>2</xdr:col>
          <xdr:colOff>2124075</xdr:colOff>
          <xdr:row>21</xdr:row>
          <xdr:rowOff>257175</xdr:rowOff>
        </xdr:to>
        <xdr:sp macro="" textlink="">
          <xdr:nvSpPr>
            <xdr:cNvPr id="2256" name="Group Box 208" hidden="1">
              <a:extLst>
                <a:ext uri="{63B3BB69-23CF-44E3-9099-C40C66FF867C}">
                  <a14:compatExt spid="_x0000_s2256"/>
                </a:ext>
                <a:ext uri="{FF2B5EF4-FFF2-40B4-BE49-F238E27FC236}">
                  <a16:creationId xmlns:a16="http://schemas.microsoft.com/office/drawing/2014/main" id="{00000000-0008-0000-0300-0000D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2619375</xdr:colOff>
          <xdr:row>21</xdr:row>
          <xdr:rowOff>533400</xdr:rowOff>
        </xdr:to>
        <xdr:sp macro="" textlink="">
          <xdr:nvSpPr>
            <xdr:cNvPr id="2257" name="Group Box 209" hidden="1">
              <a:extLst>
                <a:ext uri="{63B3BB69-23CF-44E3-9099-C40C66FF867C}">
                  <a14:compatExt spid="_x0000_s2257"/>
                </a:ext>
                <a:ext uri="{FF2B5EF4-FFF2-40B4-BE49-F238E27FC236}">
                  <a16:creationId xmlns:a16="http://schemas.microsoft.com/office/drawing/2014/main" id="{00000000-0008-0000-0300-0000D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200025</xdr:rowOff>
        </xdr:to>
        <xdr:sp macro="" textlink="">
          <xdr:nvSpPr>
            <xdr:cNvPr id="2258" name="Group Box 210" hidden="1">
              <a:extLst>
                <a:ext uri="{63B3BB69-23CF-44E3-9099-C40C66FF867C}">
                  <a14:compatExt spid="_x0000_s2258"/>
                </a:ext>
                <a:ext uri="{FF2B5EF4-FFF2-40B4-BE49-F238E27FC236}">
                  <a16:creationId xmlns:a16="http://schemas.microsoft.com/office/drawing/2014/main" id="{00000000-0008-0000-0300-0000D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9525</xdr:colOff>
          <xdr:row>22</xdr:row>
          <xdr:rowOff>238125</xdr:rowOff>
        </xdr:to>
        <xdr:sp macro="" textlink="">
          <xdr:nvSpPr>
            <xdr:cNvPr id="2259" name="Group Box 211" hidden="1">
              <a:extLst>
                <a:ext uri="{63B3BB69-23CF-44E3-9099-C40C66FF867C}">
                  <a14:compatExt spid="_x0000_s2259"/>
                </a:ext>
                <a:ext uri="{FF2B5EF4-FFF2-40B4-BE49-F238E27FC236}">
                  <a16:creationId xmlns:a16="http://schemas.microsoft.com/office/drawing/2014/main" id="{00000000-0008-0000-0300-0000D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3</xdr:col>
          <xdr:colOff>0</xdr:colOff>
          <xdr:row>25</xdr:row>
          <xdr:rowOff>57150</xdr:rowOff>
        </xdr:to>
        <xdr:sp macro="" textlink="">
          <xdr:nvSpPr>
            <xdr:cNvPr id="2260" name="Group Box 212" hidden="1">
              <a:extLst>
                <a:ext uri="{63B3BB69-23CF-44E3-9099-C40C66FF867C}">
                  <a14:compatExt spid="_x0000_s2260"/>
                </a:ext>
                <a:ext uri="{FF2B5EF4-FFF2-40B4-BE49-F238E27FC236}">
                  <a16:creationId xmlns:a16="http://schemas.microsoft.com/office/drawing/2014/main" id="{00000000-0008-0000-0300-0000D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25</xdr:row>
          <xdr:rowOff>209550</xdr:rowOff>
        </xdr:to>
        <xdr:sp macro="" textlink="">
          <xdr:nvSpPr>
            <xdr:cNvPr id="2261" name="Group Box 213" hidden="1">
              <a:extLst>
                <a:ext uri="{63B3BB69-23CF-44E3-9099-C40C66FF867C}">
                  <a14:compatExt spid="_x0000_s2261"/>
                </a:ext>
                <a:ext uri="{FF2B5EF4-FFF2-40B4-BE49-F238E27FC236}">
                  <a16:creationId xmlns:a16="http://schemas.microsoft.com/office/drawing/2014/main" id="{00000000-0008-0000-0300-0000D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24</xdr:row>
          <xdr:rowOff>57150</xdr:rowOff>
        </xdr:to>
        <xdr:sp macro="" textlink="">
          <xdr:nvSpPr>
            <xdr:cNvPr id="2262" name="Group Box 214" hidden="1">
              <a:extLst>
                <a:ext uri="{63B3BB69-23CF-44E3-9099-C40C66FF867C}">
                  <a14:compatExt spid="_x0000_s2262"/>
                </a:ext>
                <a:ext uri="{FF2B5EF4-FFF2-40B4-BE49-F238E27FC236}">
                  <a16:creationId xmlns:a16="http://schemas.microsoft.com/office/drawing/2014/main" id="{00000000-0008-0000-0300-0000D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24</xdr:row>
          <xdr:rowOff>57150</xdr:rowOff>
        </xdr:to>
        <xdr:sp macro="" textlink="">
          <xdr:nvSpPr>
            <xdr:cNvPr id="2263" name="Group Box 215" hidden="1">
              <a:extLst>
                <a:ext uri="{63B3BB69-23CF-44E3-9099-C40C66FF867C}">
                  <a14:compatExt spid="_x0000_s2263"/>
                </a:ext>
                <a:ext uri="{FF2B5EF4-FFF2-40B4-BE49-F238E27FC236}">
                  <a16:creationId xmlns:a16="http://schemas.microsoft.com/office/drawing/2014/main" id="{00000000-0008-0000-0300-0000D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25</xdr:row>
          <xdr:rowOff>209550</xdr:rowOff>
        </xdr:to>
        <xdr:sp macro="" textlink="">
          <xdr:nvSpPr>
            <xdr:cNvPr id="2264" name="Group Box 216" hidden="1">
              <a:extLst>
                <a:ext uri="{63B3BB69-23CF-44E3-9099-C40C66FF867C}">
                  <a14:compatExt spid="_x0000_s2264"/>
                </a:ext>
                <a:ext uri="{FF2B5EF4-FFF2-40B4-BE49-F238E27FC236}">
                  <a16:creationId xmlns:a16="http://schemas.microsoft.com/office/drawing/2014/main" id="{00000000-0008-0000-0300-0000D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2124075</xdr:colOff>
          <xdr:row>25</xdr:row>
          <xdr:rowOff>66675</xdr:rowOff>
        </xdr:to>
        <xdr:sp macro="" textlink="">
          <xdr:nvSpPr>
            <xdr:cNvPr id="2265" name="Group Box 217" hidden="1">
              <a:extLst>
                <a:ext uri="{63B3BB69-23CF-44E3-9099-C40C66FF867C}">
                  <a14:compatExt spid="_x0000_s2265"/>
                </a:ext>
                <a:ext uri="{FF2B5EF4-FFF2-40B4-BE49-F238E27FC236}">
                  <a16:creationId xmlns:a16="http://schemas.microsoft.com/office/drawing/2014/main" id="{00000000-0008-0000-0300-0000D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266" name="Group Box 218" hidden="1">
              <a:extLst>
                <a:ext uri="{63B3BB69-23CF-44E3-9099-C40C66FF867C}">
                  <a14:compatExt spid="_x0000_s2266"/>
                </a:ext>
                <a:ext uri="{FF2B5EF4-FFF2-40B4-BE49-F238E27FC236}">
                  <a16:creationId xmlns:a16="http://schemas.microsoft.com/office/drawing/2014/main" id="{00000000-0008-0000-0300-0000D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267" name="Group Box 219" hidden="1">
              <a:extLst>
                <a:ext uri="{63B3BB69-23CF-44E3-9099-C40C66FF867C}">
                  <a14:compatExt spid="_x0000_s2267"/>
                </a:ext>
                <a:ext uri="{FF2B5EF4-FFF2-40B4-BE49-F238E27FC236}">
                  <a16:creationId xmlns:a16="http://schemas.microsoft.com/office/drawing/2014/main" id="{00000000-0008-0000-0300-0000D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0</xdr:rowOff>
        </xdr:from>
        <xdr:to>
          <xdr:col>2</xdr:col>
          <xdr:colOff>2600325</xdr:colOff>
          <xdr:row>25</xdr:row>
          <xdr:rowOff>66675</xdr:rowOff>
        </xdr:to>
        <xdr:sp macro="" textlink="">
          <xdr:nvSpPr>
            <xdr:cNvPr id="2268" name="Group Box 220" hidden="1">
              <a:extLst>
                <a:ext uri="{63B3BB69-23CF-44E3-9099-C40C66FF867C}">
                  <a14:compatExt spid="_x0000_s2268"/>
                </a:ext>
                <a:ext uri="{FF2B5EF4-FFF2-40B4-BE49-F238E27FC236}">
                  <a16:creationId xmlns:a16="http://schemas.microsoft.com/office/drawing/2014/main" id="{00000000-0008-0000-0300-0000D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2619375</xdr:colOff>
          <xdr:row>26</xdr:row>
          <xdr:rowOff>28575</xdr:rowOff>
        </xdr:to>
        <xdr:sp macro="" textlink="">
          <xdr:nvSpPr>
            <xdr:cNvPr id="2269" name="Group Box 221" hidden="1">
              <a:extLst>
                <a:ext uri="{63B3BB69-23CF-44E3-9099-C40C66FF867C}">
                  <a14:compatExt spid="_x0000_s2269"/>
                </a:ext>
                <a:ext uri="{FF2B5EF4-FFF2-40B4-BE49-F238E27FC236}">
                  <a16:creationId xmlns:a16="http://schemas.microsoft.com/office/drawing/2014/main" id="{00000000-0008-0000-0300-0000D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2124075</xdr:colOff>
          <xdr:row>25</xdr:row>
          <xdr:rowOff>66675</xdr:rowOff>
        </xdr:to>
        <xdr:sp macro="" textlink="">
          <xdr:nvSpPr>
            <xdr:cNvPr id="2270" name="Group Box 222" hidden="1">
              <a:extLst>
                <a:ext uri="{63B3BB69-23CF-44E3-9099-C40C66FF867C}">
                  <a14:compatExt spid="_x0000_s2270"/>
                </a:ext>
                <a:ext uri="{FF2B5EF4-FFF2-40B4-BE49-F238E27FC236}">
                  <a16:creationId xmlns:a16="http://schemas.microsoft.com/office/drawing/2014/main" id="{00000000-0008-0000-0300-0000D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271" name="Group Box 223" hidden="1">
              <a:extLst>
                <a:ext uri="{63B3BB69-23CF-44E3-9099-C40C66FF867C}">
                  <a14:compatExt spid="_x0000_s2271"/>
                </a:ext>
                <a:ext uri="{FF2B5EF4-FFF2-40B4-BE49-F238E27FC236}">
                  <a16:creationId xmlns:a16="http://schemas.microsoft.com/office/drawing/2014/main" id="{00000000-0008-0000-0300-0000D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272" name="Group Box 224" hidden="1">
              <a:extLst>
                <a:ext uri="{63B3BB69-23CF-44E3-9099-C40C66FF867C}">
                  <a14:compatExt spid="_x0000_s2272"/>
                </a:ext>
                <a:ext uri="{FF2B5EF4-FFF2-40B4-BE49-F238E27FC236}">
                  <a16:creationId xmlns:a16="http://schemas.microsoft.com/office/drawing/2014/main" id="{00000000-0008-0000-0300-0000E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0</xdr:rowOff>
        </xdr:from>
        <xdr:to>
          <xdr:col>2</xdr:col>
          <xdr:colOff>2600325</xdr:colOff>
          <xdr:row>25</xdr:row>
          <xdr:rowOff>66675</xdr:rowOff>
        </xdr:to>
        <xdr:sp macro="" textlink="">
          <xdr:nvSpPr>
            <xdr:cNvPr id="2273" name="Group Box 225" hidden="1">
              <a:extLst>
                <a:ext uri="{63B3BB69-23CF-44E3-9099-C40C66FF867C}">
                  <a14:compatExt spid="_x0000_s2273"/>
                </a:ext>
                <a:ext uri="{FF2B5EF4-FFF2-40B4-BE49-F238E27FC236}">
                  <a16:creationId xmlns:a16="http://schemas.microsoft.com/office/drawing/2014/main" id="{00000000-0008-0000-0300-0000E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2619375</xdr:colOff>
          <xdr:row>26</xdr:row>
          <xdr:rowOff>28575</xdr:rowOff>
        </xdr:to>
        <xdr:sp macro="" textlink="">
          <xdr:nvSpPr>
            <xdr:cNvPr id="2274" name="Group Box 226" hidden="1">
              <a:extLst>
                <a:ext uri="{63B3BB69-23CF-44E3-9099-C40C66FF867C}">
                  <a14:compatExt spid="_x0000_s2274"/>
                </a:ext>
                <a:ext uri="{FF2B5EF4-FFF2-40B4-BE49-F238E27FC236}">
                  <a16:creationId xmlns:a16="http://schemas.microsoft.com/office/drawing/2014/main" id="{00000000-0008-0000-0300-0000E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275" name="Group Box 227" hidden="1">
              <a:extLst>
                <a:ext uri="{63B3BB69-23CF-44E3-9099-C40C66FF867C}">
                  <a14:compatExt spid="_x0000_s2275"/>
                </a:ext>
                <a:ext uri="{FF2B5EF4-FFF2-40B4-BE49-F238E27FC236}">
                  <a16:creationId xmlns:a16="http://schemas.microsoft.com/office/drawing/2014/main" id="{00000000-0008-0000-0300-0000E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3</xdr:col>
          <xdr:colOff>0</xdr:colOff>
          <xdr:row>27</xdr:row>
          <xdr:rowOff>38100</xdr:rowOff>
        </xdr:to>
        <xdr:sp macro="" textlink="">
          <xdr:nvSpPr>
            <xdr:cNvPr id="2276" name="Group Box 228" hidden="1">
              <a:extLst>
                <a:ext uri="{63B3BB69-23CF-44E3-9099-C40C66FF867C}">
                  <a14:compatExt spid="_x0000_s2276"/>
                </a:ext>
                <a:ext uri="{FF2B5EF4-FFF2-40B4-BE49-F238E27FC236}">
                  <a16:creationId xmlns:a16="http://schemas.microsoft.com/office/drawing/2014/main" id="{00000000-0008-0000-0300-0000E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xdr:colOff>
          <xdr:row>28</xdr:row>
          <xdr:rowOff>9525</xdr:rowOff>
        </xdr:to>
        <xdr:sp macro="" textlink="">
          <xdr:nvSpPr>
            <xdr:cNvPr id="2277" name="Group Box 229" hidden="1">
              <a:extLst>
                <a:ext uri="{63B3BB69-23CF-44E3-9099-C40C66FF867C}">
                  <a14:compatExt spid="_x0000_s2277"/>
                </a:ext>
                <a:ext uri="{FF2B5EF4-FFF2-40B4-BE49-F238E27FC236}">
                  <a16:creationId xmlns:a16="http://schemas.microsoft.com/office/drawing/2014/main" id="{00000000-0008-0000-0300-0000E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0</xdr:rowOff>
        </xdr:from>
        <xdr:to>
          <xdr:col>2</xdr:col>
          <xdr:colOff>1181100</xdr:colOff>
          <xdr:row>25</xdr:row>
          <xdr:rowOff>142875</xdr:rowOff>
        </xdr:to>
        <xdr:sp macro="" textlink="">
          <xdr:nvSpPr>
            <xdr:cNvPr id="2278" name="Group Box 230" hidden="1">
              <a:extLst>
                <a:ext uri="{63B3BB69-23CF-44E3-9099-C40C66FF867C}">
                  <a14:compatExt spid="_x0000_s2278"/>
                </a:ext>
                <a:ext uri="{FF2B5EF4-FFF2-40B4-BE49-F238E27FC236}">
                  <a16:creationId xmlns:a16="http://schemas.microsoft.com/office/drawing/2014/main" id="{00000000-0008-0000-0300-0000E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0</xdr:rowOff>
        </xdr:from>
        <xdr:to>
          <xdr:col>2</xdr:col>
          <xdr:colOff>2600325</xdr:colOff>
          <xdr:row>25</xdr:row>
          <xdr:rowOff>66675</xdr:rowOff>
        </xdr:to>
        <xdr:sp macro="" textlink="">
          <xdr:nvSpPr>
            <xdr:cNvPr id="2279" name="Group Box 231" hidden="1">
              <a:extLst>
                <a:ext uri="{63B3BB69-23CF-44E3-9099-C40C66FF867C}">
                  <a14:compatExt spid="_x0000_s2279"/>
                </a:ext>
                <a:ext uri="{FF2B5EF4-FFF2-40B4-BE49-F238E27FC236}">
                  <a16:creationId xmlns:a16="http://schemas.microsoft.com/office/drawing/2014/main" id="{00000000-0008-0000-0300-0000E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2</xdr:col>
          <xdr:colOff>2057400</xdr:colOff>
          <xdr:row>25</xdr:row>
          <xdr:rowOff>66675</xdr:rowOff>
        </xdr:to>
        <xdr:sp macro="" textlink="">
          <xdr:nvSpPr>
            <xdr:cNvPr id="2280" name="Group Box 232" hidden="1">
              <a:extLst>
                <a:ext uri="{63B3BB69-23CF-44E3-9099-C40C66FF867C}">
                  <a14:compatExt spid="_x0000_s2280"/>
                </a:ext>
                <a:ext uri="{FF2B5EF4-FFF2-40B4-BE49-F238E27FC236}">
                  <a16:creationId xmlns:a16="http://schemas.microsoft.com/office/drawing/2014/main" id="{00000000-0008-0000-0300-0000E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2124075</xdr:colOff>
          <xdr:row>25</xdr:row>
          <xdr:rowOff>47625</xdr:rowOff>
        </xdr:to>
        <xdr:sp macro="" textlink="">
          <xdr:nvSpPr>
            <xdr:cNvPr id="2281" name="Group Box 233" hidden="1">
              <a:extLst>
                <a:ext uri="{63B3BB69-23CF-44E3-9099-C40C66FF867C}">
                  <a14:compatExt spid="_x0000_s2281"/>
                </a:ext>
                <a:ext uri="{FF2B5EF4-FFF2-40B4-BE49-F238E27FC236}">
                  <a16:creationId xmlns:a16="http://schemas.microsoft.com/office/drawing/2014/main" id="{00000000-0008-0000-0300-0000E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2619375</xdr:colOff>
          <xdr:row>26</xdr:row>
          <xdr:rowOff>38100</xdr:rowOff>
        </xdr:to>
        <xdr:sp macro="" textlink="">
          <xdr:nvSpPr>
            <xdr:cNvPr id="2282" name="Group Box 234" hidden="1">
              <a:extLst>
                <a:ext uri="{63B3BB69-23CF-44E3-9099-C40C66FF867C}">
                  <a14:compatExt spid="_x0000_s2282"/>
                </a:ext>
                <a:ext uri="{FF2B5EF4-FFF2-40B4-BE49-F238E27FC236}">
                  <a16:creationId xmlns:a16="http://schemas.microsoft.com/office/drawing/2014/main" id="{00000000-0008-0000-0300-0000E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283" name="Group Box 235" hidden="1">
              <a:extLst>
                <a:ext uri="{63B3BB69-23CF-44E3-9099-C40C66FF867C}">
                  <a14:compatExt spid="_x0000_s2283"/>
                </a:ext>
                <a:ext uri="{FF2B5EF4-FFF2-40B4-BE49-F238E27FC236}">
                  <a16:creationId xmlns:a16="http://schemas.microsoft.com/office/drawing/2014/main" id="{00000000-0008-0000-0300-0000E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284" name="Group Box 236" hidden="1">
              <a:extLst>
                <a:ext uri="{63B3BB69-23CF-44E3-9099-C40C66FF867C}">
                  <a14:compatExt spid="_x0000_s2284"/>
                </a:ext>
                <a:ext uri="{FF2B5EF4-FFF2-40B4-BE49-F238E27FC236}">
                  <a16:creationId xmlns:a16="http://schemas.microsoft.com/office/drawing/2014/main" id="{00000000-0008-0000-0300-0000E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0</xdr:rowOff>
        </xdr:from>
        <xdr:to>
          <xdr:col>2</xdr:col>
          <xdr:colOff>2600325</xdr:colOff>
          <xdr:row>25</xdr:row>
          <xdr:rowOff>66675</xdr:rowOff>
        </xdr:to>
        <xdr:sp macro="" textlink="">
          <xdr:nvSpPr>
            <xdr:cNvPr id="2285" name="Group Box 237" hidden="1">
              <a:extLst>
                <a:ext uri="{63B3BB69-23CF-44E3-9099-C40C66FF867C}">
                  <a14:compatExt spid="_x0000_s2285"/>
                </a:ext>
                <a:ext uri="{FF2B5EF4-FFF2-40B4-BE49-F238E27FC236}">
                  <a16:creationId xmlns:a16="http://schemas.microsoft.com/office/drawing/2014/main" id="{00000000-0008-0000-0300-0000E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2</xdr:col>
          <xdr:colOff>2057400</xdr:colOff>
          <xdr:row>25</xdr:row>
          <xdr:rowOff>66675</xdr:rowOff>
        </xdr:to>
        <xdr:sp macro="" textlink="">
          <xdr:nvSpPr>
            <xdr:cNvPr id="2286" name="Group Box 238" hidden="1">
              <a:extLst>
                <a:ext uri="{63B3BB69-23CF-44E3-9099-C40C66FF867C}">
                  <a14:compatExt spid="_x0000_s2286"/>
                </a:ext>
                <a:ext uri="{FF2B5EF4-FFF2-40B4-BE49-F238E27FC236}">
                  <a16:creationId xmlns:a16="http://schemas.microsoft.com/office/drawing/2014/main" id="{00000000-0008-0000-0300-0000E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2124075</xdr:colOff>
          <xdr:row>25</xdr:row>
          <xdr:rowOff>66675</xdr:rowOff>
        </xdr:to>
        <xdr:sp macro="" textlink="">
          <xdr:nvSpPr>
            <xdr:cNvPr id="2287" name="Group Box 239" hidden="1">
              <a:extLst>
                <a:ext uri="{63B3BB69-23CF-44E3-9099-C40C66FF867C}">
                  <a14:compatExt spid="_x0000_s2287"/>
                </a:ext>
                <a:ext uri="{FF2B5EF4-FFF2-40B4-BE49-F238E27FC236}">
                  <a16:creationId xmlns:a16="http://schemas.microsoft.com/office/drawing/2014/main" id="{00000000-0008-0000-0300-0000E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2619375</xdr:colOff>
          <xdr:row>26</xdr:row>
          <xdr:rowOff>28575</xdr:rowOff>
        </xdr:to>
        <xdr:sp macro="" textlink="">
          <xdr:nvSpPr>
            <xdr:cNvPr id="2288" name="Group Box 240" hidden="1">
              <a:extLst>
                <a:ext uri="{63B3BB69-23CF-44E3-9099-C40C66FF867C}">
                  <a14:compatExt spid="_x0000_s2288"/>
                </a:ext>
                <a:ext uri="{FF2B5EF4-FFF2-40B4-BE49-F238E27FC236}">
                  <a16:creationId xmlns:a16="http://schemas.microsoft.com/office/drawing/2014/main" id="{00000000-0008-0000-0300-0000F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2289" name="Group Box 241" hidden="1">
              <a:extLst>
                <a:ext uri="{63B3BB69-23CF-44E3-9099-C40C66FF867C}">
                  <a14:compatExt spid="_x0000_s2289"/>
                </a:ext>
                <a:ext uri="{FF2B5EF4-FFF2-40B4-BE49-F238E27FC236}">
                  <a16:creationId xmlns:a16="http://schemas.microsoft.com/office/drawing/2014/main" id="{00000000-0008-0000-0300-0000F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xdr:colOff>
          <xdr:row>28</xdr:row>
          <xdr:rowOff>9525</xdr:rowOff>
        </xdr:to>
        <xdr:sp macro="" textlink="">
          <xdr:nvSpPr>
            <xdr:cNvPr id="2290" name="Group Box 242" hidden="1">
              <a:extLst>
                <a:ext uri="{63B3BB69-23CF-44E3-9099-C40C66FF867C}">
                  <a14:compatExt spid="_x0000_s2290"/>
                </a:ext>
                <a:ext uri="{FF2B5EF4-FFF2-40B4-BE49-F238E27FC236}">
                  <a16:creationId xmlns:a16="http://schemas.microsoft.com/office/drawing/2014/main" id="{00000000-0008-0000-0300-0000F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xdr:colOff>
          <xdr:row>24</xdr:row>
          <xdr:rowOff>95250</xdr:rowOff>
        </xdr:to>
        <xdr:sp macro="" textlink="">
          <xdr:nvSpPr>
            <xdr:cNvPr id="2291" name="Group Box 243" hidden="1">
              <a:extLst>
                <a:ext uri="{63B3BB69-23CF-44E3-9099-C40C66FF867C}">
                  <a14:compatExt spid="_x0000_s2291"/>
                </a:ext>
                <a:ext uri="{FF2B5EF4-FFF2-40B4-BE49-F238E27FC236}">
                  <a16:creationId xmlns:a16="http://schemas.microsoft.com/office/drawing/2014/main" id="{00000000-0008-0000-0300-0000F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xdr:colOff>
          <xdr:row>24</xdr:row>
          <xdr:rowOff>95250</xdr:rowOff>
        </xdr:to>
        <xdr:sp macro="" textlink="">
          <xdr:nvSpPr>
            <xdr:cNvPr id="2292" name="Group Box 244" hidden="1">
              <a:extLst>
                <a:ext uri="{63B3BB69-23CF-44E3-9099-C40C66FF867C}">
                  <a14:compatExt spid="_x0000_s2292"/>
                </a:ext>
                <a:ext uri="{FF2B5EF4-FFF2-40B4-BE49-F238E27FC236}">
                  <a16:creationId xmlns:a16="http://schemas.microsoft.com/office/drawing/2014/main" id="{00000000-0008-0000-0300-0000F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25</xdr:row>
          <xdr:rowOff>209550</xdr:rowOff>
        </xdr:to>
        <xdr:sp macro="" textlink="">
          <xdr:nvSpPr>
            <xdr:cNvPr id="2293" name="Group Box 245" hidden="1">
              <a:extLst>
                <a:ext uri="{63B3BB69-23CF-44E3-9099-C40C66FF867C}">
                  <a14:compatExt spid="_x0000_s2293"/>
                </a:ext>
                <a:ext uri="{FF2B5EF4-FFF2-40B4-BE49-F238E27FC236}">
                  <a16:creationId xmlns:a16="http://schemas.microsoft.com/office/drawing/2014/main" id="{00000000-0008-0000-0300-0000F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25</xdr:row>
          <xdr:rowOff>209550</xdr:rowOff>
        </xdr:to>
        <xdr:sp macro="" textlink="">
          <xdr:nvSpPr>
            <xdr:cNvPr id="2294" name="Group Box 246" hidden="1">
              <a:extLst>
                <a:ext uri="{63B3BB69-23CF-44E3-9099-C40C66FF867C}">
                  <a14:compatExt spid="_x0000_s2294"/>
                </a:ext>
                <a:ext uri="{FF2B5EF4-FFF2-40B4-BE49-F238E27FC236}">
                  <a16:creationId xmlns:a16="http://schemas.microsoft.com/office/drawing/2014/main" id="{00000000-0008-0000-0300-0000F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xdr:colOff>
          <xdr:row>28</xdr:row>
          <xdr:rowOff>9525</xdr:rowOff>
        </xdr:to>
        <xdr:sp macro="" textlink="">
          <xdr:nvSpPr>
            <xdr:cNvPr id="2295" name="Group Box 247" hidden="1">
              <a:extLst>
                <a:ext uri="{63B3BB69-23CF-44E3-9099-C40C66FF867C}">
                  <a14:compatExt spid="_x0000_s2295"/>
                </a:ext>
                <a:ext uri="{FF2B5EF4-FFF2-40B4-BE49-F238E27FC236}">
                  <a16:creationId xmlns:a16="http://schemas.microsoft.com/office/drawing/2014/main" id="{00000000-0008-0000-0300-0000F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xdr:colOff>
          <xdr:row>28</xdr:row>
          <xdr:rowOff>9525</xdr:rowOff>
        </xdr:to>
        <xdr:sp macro="" textlink="">
          <xdr:nvSpPr>
            <xdr:cNvPr id="2296" name="Group Box 248" hidden="1">
              <a:extLst>
                <a:ext uri="{63B3BB69-23CF-44E3-9099-C40C66FF867C}">
                  <a14:compatExt spid="_x0000_s2296"/>
                </a:ext>
                <a:ext uri="{FF2B5EF4-FFF2-40B4-BE49-F238E27FC236}">
                  <a16:creationId xmlns:a16="http://schemas.microsoft.com/office/drawing/2014/main" id="{00000000-0008-0000-0300-0000F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xdr:colOff>
          <xdr:row>29</xdr:row>
          <xdr:rowOff>9525</xdr:rowOff>
        </xdr:to>
        <xdr:sp macro="" textlink="">
          <xdr:nvSpPr>
            <xdr:cNvPr id="2297" name="Group Box 249" hidden="1">
              <a:extLst>
                <a:ext uri="{63B3BB69-23CF-44E3-9099-C40C66FF867C}">
                  <a14:compatExt spid="_x0000_s2297"/>
                </a:ext>
                <a:ext uri="{FF2B5EF4-FFF2-40B4-BE49-F238E27FC236}">
                  <a16:creationId xmlns:a16="http://schemas.microsoft.com/office/drawing/2014/main" id="{00000000-0008-0000-0300-0000F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xdr:colOff>
          <xdr:row>29</xdr:row>
          <xdr:rowOff>9525</xdr:rowOff>
        </xdr:to>
        <xdr:sp macro="" textlink="">
          <xdr:nvSpPr>
            <xdr:cNvPr id="2298" name="Group Box 250" hidden="1">
              <a:extLst>
                <a:ext uri="{63B3BB69-23CF-44E3-9099-C40C66FF867C}">
                  <a14:compatExt spid="_x0000_s2298"/>
                </a:ext>
                <a:ext uri="{FF2B5EF4-FFF2-40B4-BE49-F238E27FC236}">
                  <a16:creationId xmlns:a16="http://schemas.microsoft.com/office/drawing/2014/main" id="{00000000-0008-0000-0300-0000F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9525</xdr:colOff>
          <xdr:row>30</xdr:row>
          <xdr:rowOff>123825</xdr:rowOff>
        </xdr:to>
        <xdr:sp macro="" textlink="">
          <xdr:nvSpPr>
            <xdr:cNvPr id="2299" name="Group Box 251" hidden="1">
              <a:extLst>
                <a:ext uri="{63B3BB69-23CF-44E3-9099-C40C66FF867C}">
                  <a14:compatExt spid="_x0000_s2299"/>
                </a:ext>
                <a:ext uri="{FF2B5EF4-FFF2-40B4-BE49-F238E27FC236}">
                  <a16:creationId xmlns:a16="http://schemas.microsoft.com/office/drawing/2014/main" id="{00000000-0008-0000-0300-0000F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9525</xdr:colOff>
          <xdr:row>30</xdr:row>
          <xdr:rowOff>123825</xdr:rowOff>
        </xdr:to>
        <xdr:sp macro="" textlink="">
          <xdr:nvSpPr>
            <xdr:cNvPr id="2300" name="Group Box 252" hidden="1">
              <a:extLst>
                <a:ext uri="{63B3BB69-23CF-44E3-9099-C40C66FF867C}">
                  <a14:compatExt spid="_x0000_s2300"/>
                </a:ext>
                <a:ext uri="{FF2B5EF4-FFF2-40B4-BE49-F238E27FC236}">
                  <a16:creationId xmlns:a16="http://schemas.microsoft.com/office/drawing/2014/main" id="{00000000-0008-0000-0300-0000F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2638425</xdr:colOff>
          <xdr:row>30</xdr:row>
          <xdr:rowOff>123825</xdr:rowOff>
        </xdr:to>
        <xdr:sp macro="" textlink="">
          <xdr:nvSpPr>
            <xdr:cNvPr id="2301" name="Group Box 253" hidden="1">
              <a:extLst>
                <a:ext uri="{63B3BB69-23CF-44E3-9099-C40C66FF867C}">
                  <a14:compatExt spid="_x0000_s2301"/>
                </a:ext>
                <a:ext uri="{FF2B5EF4-FFF2-40B4-BE49-F238E27FC236}">
                  <a16:creationId xmlns:a16="http://schemas.microsoft.com/office/drawing/2014/main" id="{00000000-0008-0000-0300-0000F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2638425</xdr:colOff>
          <xdr:row>30</xdr:row>
          <xdr:rowOff>123825</xdr:rowOff>
        </xdr:to>
        <xdr:sp macro="" textlink="">
          <xdr:nvSpPr>
            <xdr:cNvPr id="2302" name="Group Box 254" hidden="1">
              <a:extLst>
                <a:ext uri="{63B3BB69-23CF-44E3-9099-C40C66FF867C}">
                  <a14:compatExt spid="_x0000_s2302"/>
                </a:ext>
                <a:ext uri="{FF2B5EF4-FFF2-40B4-BE49-F238E27FC236}">
                  <a16:creationId xmlns:a16="http://schemas.microsoft.com/office/drawing/2014/main" id="{00000000-0008-0000-0300-0000F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2638425</xdr:colOff>
          <xdr:row>30</xdr:row>
          <xdr:rowOff>123825</xdr:rowOff>
        </xdr:to>
        <xdr:sp macro="" textlink="">
          <xdr:nvSpPr>
            <xdr:cNvPr id="2303" name="Group Box 255" hidden="1">
              <a:extLst>
                <a:ext uri="{63B3BB69-23CF-44E3-9099-C40C66FF867C}">
                  <a14:compatExt spid="_x0000_s2303"/>
                </a:ext>
                <a:ext uri="{FF2B5EF4-FFF2-40B4-BE49-F238E27FC236}">
                  <a16:creationId xmlns:a16="http://schemas.microsoft.com/office/drawing/2014/main" id="{00000000-0008-0000-0300-0000F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2638425</xdr:colOff>
          <xdr:row>30</xdr:row>
          <xdr:rowOff>123825</xdr:rowOff>
        </xdr:to>
        <xdr:sp macro="" textlink="">
          <xdr:nvSpPr>
            <xdr:cNvPr id="2304" name="Group Box 256" hidden="1">
              <a:extLst>
                <a:ext uri="{63B3BB69-23CF-44E3-9099-C40C66FF867C}">
                  <a14:compatExt spid="_x0000_s2304"/>
                </a:ext>
                <a:ext uri="{FF2B5EF4-FFF2-40B4-BE49-F238E27FC236}">
                  <a16:creationId xmlns:a16="http://schemas.microsoft.com/office/drawing/2014/main" id="{00000000-0008-0000-0300-000000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28</xdr:row>
          <xdr:rowOff>0</xdr:rowOff>
        </xdr:from>
        <xdr:to>
          <xdr:col>2</xdr:col>
          <xdr:colOff>1247775</xdr:colOff>
          <xdr:row>31</xdr:row>
          <xdr:rowOff>9525</xdr:rowOff>
        </xdr:to>
        <xdr:sp macro="" textlink="">
          <xdr:nvSpPr>
            <xdr:cNvPr id="2307" name="Group Box 259" hidden="1">
              <a:extLst>
                <a:ext uri="{63B3BB69-23CF-44E3-9099-C40C66FF867C}">
                  <a14:compatExt spid="_x0000_s2307"/>
                </a:ext>
                <a:ext uri="{FF2B5EF4-FFF2-40B4-BE49-F238E27FC236}">
                  <a16:creationId xmlns:a16="http://schemas.microsoft.com/office/drawing/2014/main" id="{00000000-0008-0000-0300-000003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47625</xdr:rowOff>
        </xdr:to>
        <xdr:sp macro="" textlink="">
          <xdr:nvSpPr>
            <xdr:cNvPr id="2308" name="Group Box 260" hidden="1">
              <a:extLst>
                <a:ext uri="{63B3BB69-23CF-44E3-9099-C40C66FF867C}">
                  <a14:compatExt spid="_x0000_s2308"/>
                </a:ext>
                <a:ext uri="{FF2B5EF4-FFF2-40B4-BE49-F238E27FC236}">
                  <a16:creationId xmlns:a16="http://schemas.microsoft.com/office/drawing/2014/main" id="{00000000-0008-0000-0300-000004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3</xdr:col>
          <xdr:colOff>0</xdr:colOff>
          <xdr:row>33</xdr:row>
          <xdr:rowOff>47625</xdr:rowOff>
        </xdr:to>
        <xdr:sp macro="" textlink="">
          <xdr:nvSpPr>
            <xdr:cNvPr id="2309" name="Group Box 261" hidden="1">
              <a:extLst>
                <a:ext uri="{63B3BB69-23CF-44E3-9099-C40C66FF867C}">
                  <a14:compatExt spid="_x0000_s2309"/>
                </a:ext>
                <a:ext uri="{FF2B5EF4-FFF2-40B4-BE49-F238E27FC236}">
                  <a16:creationId xmlns:a16="http://schemas.microsoft.com/office/drawing/2014/main" id="{00000000-0008-0000-0300-000005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0</xdr:rowOff>
        </xdr:from>
        <xdr:to>
          <xdr:col>2</xdr:col>
          <xdr:colOff>1181100</xdr:colOff>
          <xdr:row>31</xdr:row>
          <xdr:rowOff>47625</xdr:rowOff>
        </xdr:to>
        <xdr:sp macro="" textlink="">
          <xdr:nvSpPr>
            <xdr:cNvPr id="2310" name="Group Box 262" hidden="1">
              <a:extLst>
                <a:ext uri="{63B3BB69-23CF-44E3-9099-C40C66FF867C}">
                  <a14:compatExt spid="_x0000_s2310"/>
                </a:ext>
                <a:ext uri="{FF2B5EF4-FFF2-40B4-BE49-F238E27FC236}">
                  <a16:creationId xmlns:a16="http://schemas.microsoft.com/office/drawing/2014/main" id="{00000000-0008-0000-0300-000006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0</xdr:rowOff>
        </xdr:from>
        <xdr:to>
          <xdr:col>2</xdr:col>
          <xdr:colOff>2600325</xdr:colOff>
          <xdr:row>30</xdr:row>
          <xdr:rowOff>28575</xdr:rowOff>
        </xdr:to>
        <xdr:sp macro="" textlink="">
          <xdr:nvSpPr>
            <xdr:cNvPr id="2311" name="Group Box 263" hidden="1">
              <a:extLst>
                <a:ext uri="{63B3BB69-23CF-44E3-9099-C40C66FF867C}">
                  <a14:compatExt spid="_x0000_s2311"/>
                </a:ext>
                <a:ext uri="{FF2B5EF4-FFF2-40B4-BE49-F238E27FC236}">
                  <a16:creationId xmlns:a16="http://schemas.microsoft.com/office/drawing/2014/main" id="{00000000-0008-0000-0300-000007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0</xdr:rowOff>
        </xdr:from>
        <xdr:to>
          <xdr:col>2</xdr:col>
          <xdr:colOff>2057400</xdr:colOff>
          <xdr:row>30</xdr:row>
          <xdr:rowOff>28575</xdr:rowOff>
        </xdr:to>
        <xdr:sp macro="" textlink="">
          <xdr:nvSpPr>
            <xdr:cNvPr id="2312" name="Group Box 264" hidden="1">
              <a:extLst>
                <a:ext uri="{63B3BB69-23CF-44E3-9099-C40C66FF867C}">
                  <a14:compatExt spid="_x0000_s2312"/>
                </a:ext>
                <a:ext uri="{FF2B5EF4-FFF2-40B4-BE49-F238E27FC236}">
                  <a16:creationId xmlns:a16="http://schemas.microsoft.com/office/drawing/2014/main" id="{00000000-0008-0000-0300-000008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0</xdr:rowOff>
        </xdr:from>
        <xdr:to>
          <xdr:col>2</xdr:col>
          <xdr:colOff>2124075</xdr:colOff>
          <xdr:row>30</xdr:row>
          <xdr:rowOff>28575</xdr:rowOff>
        </xdr:to>
        <xdr:sp macro="" textlink="">
          <xdr:nvSpPr>
            <xdr:cNvPr id="2313" name="Group Box 265" hidden="1">
              <a:extLst>
                <a:ext uri="{63B3BB69-23CF-44E3-9099-C40C66FF867C}">
                  <a14:compatExt spid="_x0000_s2313"/>
                </a:ext>
                <a:ext uri="{FF2B5EF4-FFF2-40B4-BE49-F238E27FC236}">
                  <a16:creationId xmlns:a16="http://schemas.microsoft.com/office/drawing/2014/main" id="{00000000-0008-0000-0300-000009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2</xdr:col>
          <xdr:colOff>2619375</xdr:colOff>
          <xdr:row>32</xdr:row>
          <xdr:rowOff>66675</xdr:rowOff>
        </xdr:to>
        <xdr:sp macro="" textlink="">
          <xdr:nvSpPr>
            <xdr:cNvPr id="2314" name="Group Box 266" hidden="1">
              <a:extLst>
                <a:ext uri="{63B3BB69-23CF-44E3-9099-C40C66FF867C}">
                  <a14:compatExt spid="_x0000_s2314"/>
                </a:ext>
                <a:ext uri="{FF2B5EF4-FFF2-40B4-BE49-F238E27FC236}">
                  <a16:creationId xmlns:a16="http://schemas.microsoft.com/office/drawing/2014/main" id="{00000000-0008-0000-0300-00000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38100</xdr:rowOff>
        </xdr:to>
        <xdr:sp macro="" textlink="">
          <xdr:nvSpPr>
            <xdr:cNvPr id="2315" name="Group Box 267" hidden="1">
              <a:extLst>
                <a:ext uri="{63B3BB69-23CF-44E3-9099-C40C66FF867C}">
                  <a14:compatExt spid="_x0000_s2315"/>
                </a:ext>
                <a:ext uri="{FF2B5EF4-FFF2-40B4-BE49-F238E27FC236}">
                  <a16:creationId xmlns:a16="http://schemas.microsoft.com/office/drawing/2014/main" id="{00000000-0008-0000-0300-00000B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38100</xdr:rowOff>
        </xdr:to>
        <xdr:sp macro="" textlink="">
          <xdr:nvSpPr>
            <xdr:cNvPr id="2316" name="Group Box 268" hidden="1">
              <a:extLst>
                <a:ext uri="{63B3BB69-23CF-44E3-9099-C40C66FF867C}">
                  <a14:compatExt spid="_x0000_s2316"/>
                </a:ext>
                <a:ext uri="{FF2B5EF4-FFF2-40B4-BE49-F238E27FC236}">
                  <a16:creationId xmlns:a16="http://schemas.microsoft.com/office/drawing/2014/main" id="{00000000-0008-0000-0300-00000C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0</xdr:rowOff>
        </xdr:from>
        <xdr:to>
          <xdr:col>2</xdr:col>
          <xdr:colOff>2600325</xdr:colOff>
          <xdr:row>30</xdr:row>
          <xdr:rowOff>28575</xdr:rowOff>
        </xdr:to>
        <xdr:sp macro="" textlink="">
          <xdr:nvSpPr>
            <xdr:cNvPr id="2317" name="Group Box 269" hidden="1">
              <a:extLst>
                <a:ext uri="{63B3BB69-23CF-44E3-9099-C40C66FF867C}">
                  <a14:compatExt spid="_x0000_s2317"/>
                </a:ext>
                <a:ext uri="{FF2B5EF4-FFF2-40B4-BE49-F238E27FC236}">
                  <a16:creationId xmlns:a16="http://schemas.microsoft.com/office/drawing/2014/main" id="{00000000-0008-0000-0300-00000D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0</xdr:rowOff>
        </xdr:from>
        <xdr:to>
          <xdr:col>2</xdr:col>
          <xdr:colOff>2057400</xdr:colOff>
          <xdr:row>30</xdr:row>
          <xdr:rowOff>28575</xdr:rowOff>
        </xdr:to>
        <xdr:sp macro="" textlink="">
          <xdr:nvSpPr>
            <xdr:cNvPr id="2318" name="Group Box 270" hidden="1">
              <a:extLst>
                <a:ext uri="{63B3BB69-23CF-44E3-9099-C40C66FF867C}">
                  <a14:compatExt spid="_x0000_s2318"/>
                </a:ext>
                <a:ext uri="{FF2B5EF4-FFF2-40B4-BE49-F238E27FC236}">
                  <a16:creationId xmlns:a16="http://schemas.microsoft.com/office/drawing/2014/main" id="{00000000-0008-0000-0300-00000E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0</xdr:rowOff>
        </xdr:from>
        <xdr:to>
          <xdr:col>2</xdr:col>
          <xdr:colOff>2124075</xdr:colOff>
          <xdr:row>30</xdr:row>
          <xdr:rowOff>28575</xdr:rowOff>
        </xdr:to>
        <xdr:sp macro="" textlink="">
          <xdr:nvSpPr>
            <xdr:cNvPr id="2319" name="Group Box 271" hidden="1">
              <a:extLst>
                <a:ext uri="{63B3BB69-23CF-44E3-9099-C40C66FF867C}">
                  <a14:compatExt spid="_x0000_s2319"/>
                </a:ext>
                <a:ext uri="{FF2B5EF4-FFF2-40B4-BE49-F238E27FC236}">
                  <a16:creationId xmlns:a16="http://schemas.microsoft.com/office/drawing/2014/main" id="{00000000-0008-0000-0300-00000F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2</xdr:col>
          <xdr:colOff>2619375</xdr:colOff>
          <xdr:row>32</xdr:row>
          <xdr:rowOff>66675</xdr:rowOff>
        </xdr:to>
        <xdr:sp macro="" textlink="">
          <xdr:nvSpPr>
            <xdr:cNvPr id="2320" name="Group Box 272" hidden="1">
              <a:extLst>
                <a:ext uri="{63B3BB69-23CF-44E3-9099-C40C66FF867C}">
                  <a14:compatExt spid="_x0000_s2320"/>
                </a:ext>
                <a:ext uri="{FF2B5EF4-FFF2-40B4-BE49-F238E27FC236}">
                  <a16:creationId xmlns:a16="http://schemas.microsoft.com/office/drawing/2014/main" id="{00000000-0008-0000-0300-000010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47625</xdr:rowOff>
        </xdr:to>
        <xdr:sp macro="" textlink="">
          <xdr:nvSpPr>
            <xdr:cNvPr id="2321" name="Group Box 273" hidden="1">
              <a:extLst>
                <a:ext uri="{63B3BB69-23CF-44E3-9099-C40C66FF867C}">
                  <a14:compatExt spid="_x0000_s2321"/>
                </a:ext>
                <a:ext uri="{FF2B5EF4-FFF2-40B4-BE49-F238E27FC236}">
                  <a16:creationId xmlns:a16="http://schemas.microsoft.com/office/drawing/2014/main" id="{00000000-0008-0000-0300-000011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2</xdr:col>
          <xdr:colOff>2619375</xdr:colOff>
          <xdr:row>32</xdr:row>
          <xdr:rowOff>66675</xdr:rowOff>
        </xdr:to>
        <xdr:sp macro="" textlink="">
          <xdr:nvSpPr>
            <xdr:cNvPr id="2322" name="Group Box 274" hidden="1">
              <a:extLst>
                <a:ext uri="{63B3BB69-23CF-44E3-9099-C40C66FF867C}">
                  <a14:compatExt spid="_x0000_s2322"/>
                </a:ext>
                <a:ext uri="{FF2B5EF4-FFF2-40B4-BE49-F238E27FC236}">
                  <a16:creationId xmlns:a16="http://schemas.microsoft.com/office/drawing/2014/main" id="{00000000-0008-0000-0300-000012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2</xdr:col>
          <xdr:colOff>2619375</xdr:colOff>
          <xdr:row>32</xdr:row>
          <xdr:rowOff>66675</xdr:rowOff>
        </xdr:to>
        <xdr:sp macro="" textlink="">
          <xdr:nvSpPr>
            <xdr:cNvPr id="2323" name="Group Box 275" hidden="1">
              <a:extLst>
                <a:ext uri="{63B3BB69-23CF-44E3-9099-C40C66FF867C}">
                  <a14:compatExt spid="_x0000_s2323"/>
                </a:ext>
                <a:ext uri="{FF2B5EF4-FFF2-40B4-BE49-F238E27FC236}">
                  <a16:creationId xmlns:a16="http://schemas.microsoft.com/office/drawing/2014/main" id="{00000000-0008-0000-0300-000013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2</xdr:col>
          <xdr:colOff>2619375</xdr:colOff>
          <xdr:row>32</xdr:row>
          <xdr:rowOff>66675</xdr:rowOff>
        </xdr:to>
        <xdr:sp macro="" textlink="">
          <xdr:nvSpPr>
            <xdr:cNvPr id="2324" name="Group Box 276" hidden="1">
              <a:extLst>
                <a:ext uri="{63B3BB69-23CF-44E3-9099-C40C66FF867C}">
                  <a14:compatExt spid="_x0000_s2324"/>
                </a:ext>
                <a:ext uri="{FF2B5EF4-FFF2-40B4-BE49-F238E27FC236}">
                  <a16:creationId xmlns:a16="http://schemas.microsoft.com/office/drawing/2014/main" id="{00000000-0008-0000-0300-000014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2</xdr:col>
          <xdr:colOff>2619375</xdr:colOff>
          <xdr:row>32</xdr:row>
          <xdr:rowOff>66675</xdr:rowOff>
        </xdr:to>
        <xdr:sp macro="" textlink="">
          <xdr:nvSpPr>
            <xdr:cNvPr id="2325" name="Group Box 277" hidden="1">
              <a:extLst>
                <a:ext uri="{63B3BB69-23CF-44E3-9099-C40C66FF867C}">
                  <a14:compatExt spid="_x0000_s2325"/>
                </a:ext>
                <a:ext uri="{FF2B5EF4-FFF2-40B4-BE49-F238E27FC236}">
                  <a16:creationId xmlns:a16="http://schemas.microsoft.com/office/drawing/2014/main" id="{00000000-0008-0000-0300-000015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12</xdr:col>
          <xdr:colOff>9525</xdr:colOff>
          <xdr:row>21</xdr:row>
          <xdr:rowOff>200025</xdr:rowOff>
        </xdr:to>
        <xdr:sp macro="" textlink="">
          <xdr:nvSpPr>
            <xdr:cNvPr id="2328" name="Group Box 280" hidden="1">
              <a:extLst>
                <a:ext uri="{63B3BB69-23CF-44E3-9099-C40C66FF867C}">
                  <a14:compatExt spid="_x0000_s2328"/>
                </a:ext>
                <a:ext uri="{FF2B5EF4-FFF2-40B4-BE49-F238E27FC236}">
                  <a16:creationId xmlns:a16="http://schemas.microsoft.com/office/drawing/2014/main" id="{00000000-0008-0000-0300-000018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12</xdr:col>
          <xdr:colOff>9525</xdr:colOff>
          <xdr:row>21</xdr:row>
          <xdr:rowOff>314325</xdr:rowOff>
        </xdr:to>
        <xdr:sp macro="" textlink="">
          <xdr:nvSpPr>
            <xdr:cNvPr id="2329" name="Group Box 281" hidden="1">
              <a:extLst>
                <a:ext uri="{63B3BB69-23CF-44E3-9099-C40C66FF867C}">
                  <a14:compatExt spid="_x0000_s2329"/>
                </a:ext>
                <a:ext uri="{FF2B5EF4-FFF2-40B4-BE49-F238E27FC236}">
                  <a16:creationId xmlns:a16="http://schemas.microsoft.com/office/drawing/2014/main" id="{00000000-0008-0000-0300-000019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0</xdr:rowOff>
        </xdr:from>
        <xdr:to>
          <xdr:col>8</xdr:col>
          <xdr:colOff>638175</xdr:colOff>
          <xdr:row>21</xdr:row>
          <xdr:rowOff>314325</xdr:rowOff>
        </xdr:to>
        <xdr:sp macro="" textlink="">
          <xdr:nvSpPr>
            <xdr:cNvPr id="2330" name="Group Box 282" hidden="1">
              <a:extLst>
                <a:ext uri="{63B3BB69-23CF-44E3-9099-C40C66FF867C}">
                  <a14:compatExt spid="_x0000_s2330"/>
                </a:ext>
                <a:ext uri="{FF2B5EF4-FFF2-40B4-BE49-F238E27FC236}">
                  <a16:creationId xmlns:a16="http://schemas.microsoft.com/office/drawing/2014/main" id="{00000000-0008-0000-0300-00001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12</xdr:col>
          <xdr:colOff>9525</xdr:colOff>
          <xdr:row>21</xdr:row>
          <xdr:rowOff>257175</xdr:rowOff>
        </xdr:to>
        <xdr:sp macro="" textlink="">
          <xdr:nvSpPr>
            <xdr:cNvPr id="2331" name="Group Box 283" hidden="1">
              <a:extLst>
                <a:ext uri="{63B3BB69-23CF-44E3-9099-C40C66FF867C}">
                  <a14:compatExt spid="_x0000_s2331"/>
                </a:ext>
                <a:ext uri="{FF2B5EF4-FFF2-40B4-BE49-F238E27FC236}">
                  <a16:creationId xmlns:a16="http://schemas.microsoft.com/office/drawing/2014/main" id="{00000000-0008-0000-0300-00001B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10</xdr:col>
          <xdr:colOff>0</xdr:colOff>
          <xdr:row>21</xdr:row>
          <xdr:rowOff>257175</xdr:rowOff>
        </xdr:to>
        <xdr:sp macro="" textlink="">
          <xdr:nvSpPr>
            <xdr:cNvPr id="2332" name="Group Box 284" hidden="1">
              <a:extLst>
                <a:ext uri="{63B3BB69-23CF-44E3-9099-C40C66FF867C}">
                  <a14:compatExt spid="_x0000_s2332"/>
                </a:ext>
                <a:ext uri="{FF2B5EF4-FFF2-40B4-BE49-F238E27FC236}">
                  <a16:creationId xmlns:a16="http://schemas.microsoft.com/office/drawing/2014/main" id="{00000000-0008-0000-0300-00001C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10</xdr:col>
          <xdr:colOff>66675</xdr:colOff>
          <xdr:row>21</xdr:row>
          <xdr:rowOff>238125</xdr:rowOff>
        </xdr:to>
        <xdr:sp macro="" textlink="">
          <xdr:nvSpPr>
            <xdr:cNvPr id="2333" name="Group Box 285" hidden="1">
              <a:extLst>
                <a:ext uri="{63B3BB69-23CF-44E3-9099-C40C66FF867C}">
                  <a14:compatExt spid="_x0000_s2333"/>
                </a:ext>
                <a:ext uri="{FF2B5EF4-FFF2-40B4-BE49-F238E27FC236}">
                  <a16:creationId xmlns:a16="http://schemas.microsoft.com/office/drawing/2014/main" id="{00000000-0008-0000-0300-00001D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12</xdr:col>
          <xdr:colOff>9525</xdr:colOff>
          <xdr:row>21</xdr:row>
          <xdr:rowOff>314325</xdr:rowOff>
        </xdr:to>
        <xdr:sp macro="" textlink="">
          <xdr:nvSpPr>
            <xdr:cNvPr id="2334" name="Group Box 286" hidden="1">
              <a:extLst>
                <a:ext uri="{63B3BB69-23CF-44E3-9099-C40C66FF867C}">
                  <a14:compatExt spid="_x0000_s2334"/>
                </a:ext>
                <a:ext uri="{FF2B5EF4-FFF2-40B4-BE49-F238E27FC236}">
                  <a16:creationId xmlns:a16="http://schemas.microsoft.com/office/drawing/2014/main" id="{00000000-0008-0000-0300-00001E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12</xdr:col>
          <xdr:colOff>9525</xdr:colOff>
          <xdr:row>21</xdr:row>
          <xdr:rowOff>190500</xdr:rowOff>
        </xdr:to>
        <xdr:sp macro="" textlink="">
          <xdr:nvSpPr>
            <xdr:cNvPr id="2335" name="Group Box 287" hidden="1">
              <a:extLst>
                <a:ext uri="{63B3BB69-23CF-44E3-9099-C40C66FF867C}">
                  <a14:compatExt spid="_x0000_s2335"/>
                </a:ext>
                <a:ext uri="{FF2B5EF4-FFF2-40B4-BE49-F238E27FC236}">
                  <a16:creationId xmlns:a16="http://schemas.microsoft.com/office/drawing/2014/main" id="{00000000-0008-0000-0300-00001F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12</xdr:col>
          <xdr:colOff>9525</xdr:colOff>
          <xdr:row>21</xdr:row>
          <xdr:rowOff>190500</xdr:rowOff>
        </xdr:to>
        <xdr:sp macro="" textlink="">
          <xdr:nvSpPr>
            <xdr:cNvPr id="2336" name="Group Box 288" hidden="1">
              <a:extLst>
                <a:ext uri="{63B3BB69-23CF-44E3-9099-C40C66FF867C}">
                  <a14:compatExt spid="_x0000_s2336"/>
                </a:ext>
                <a:ext uri="{FF2B5EF4-FFF2-40B4-BE49-F238E27FC236}">
                  <a16:creationId xmlns:a16="http://schemas.microsoft.com/office/drawing/2014/main" id="{00000000-0008-0000-0300-000020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12</xdr:col>
          <xdr:colOff>9525</xdr:colOff>
          <xdr:row>21</xdr:row>
          <xdr:rowOff>257175</xdr:rowOff>
        </xdr:to>
        <xdr:sp macro="" textlink="">
          <xdr:nvSpPr>
            <xdr:cNvPr id="2337" name="Group Box 289" hidden="1">
              <a:extLst>
                <a:ext uri="{63B3BB69-23CF-44E3-9099-C40C66FF867C}">
                  <a14:compatExt spid="_x0000_s2337"/>
                </a:ext>
                <a:ext uri="{FF2B5EF4-FFF2-40B4-BE49-F238E27FC236}">
                  <a16:creationId xmlns:a16="http://schemas.microsoft.com/office/drawing/2014/main" id="{00000000-0008-0000-0300-000021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10</xdr:col>
          <xdr:colOff>0</xdr:colOff>
          <xdr:row>21</xdr:row>
          <xdr:rowOff>257175</xdr:rowOff>
        </xdr:to>
        <xdr:sp macro="" textlink="">
          <xdr:nvSpPr>
            <xdr:cNvPr id="2338" name="Group Box 290" hidden="1">
              <a:extLst>
                <a:ext uri="{63B3BB69-23CF-44E3-9099-C40C66FF867C}">
                  <a14:compatExt spid="_x0000_s2338"/>
                </a:ext>
                <a:ext uri="{FF2B5EF4-FFF2-40B4-BE49-F238E27FC236}">
                  <a16:creationId xmlns:a16="http://schemas.microsoft.com/office/drawing/2014/main" id="{00000000-0008-0000-0300-000022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10</xdr:col>
          <xdr:colOff>66675</xdr:colOff>
          <xdr:row>21</xdr:row>
          <xdr:rowOff>257175</xdr:rowOff>
        </xdr:to>
        <xdr:sp macro="" textlink="">
          <xdr:nvSpPr>
            <xdr:cNvPr id="2339" name="Group Box 291" hidden="1">
              <a:extLst>
                <a:ext uri="{63B3BB69-23CF-44E3-9099-C40C66FF867C}">
                  <a14:compatExt spid="_x0000_s2339"/>
                </a:ext>
                <a:ext uri="{FF2B5EF4-FFF2-40B4-BE49-F238E27FC236}">
                  <a16:creationId xmlns:a16="http://schemas.microsoft.com/office/drawing/2014/main" id="{00000000-0008-0000-0300-000023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12</xdr:col>
          <xdr:colOff>9525</xdr:colOff>
          <xdr:row>21</xdr:row>
          <xdr:rowOff>314325</xdr:rowOff>
        </xdr:to>
        <xdr:sp macro="" textlink="">
          <xdr:nvSpPr>
            <xdr:cNvPr id="2340" name="Group Box 292" hidden="1">
              <a:extLst>
                <a:ext uri="{63B3BB69-23CF-44E3-9099-C40C66FF867C}">
                  <a14:compatExt spid="_x0000_s2340"/>
                </a:ext>
                <a:ext uri="{FF2B5EF4-FFF2-40B4-BE49-F238E27FC236}">
                  <a16:creationId xmlns:a16="http://schemas.microsoft.com/office/drawing/2014/main" id="{00000000-0008-0000-0300-000024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12</xdr:col>
          <xdr:colOff>9525</xdr:colOff>
          <xdr:row>21</xdr:row>
          <xdr:rowOff>200025</xdr:rowOff>
        </xdr:to>
        <xdr:sp macro="" textlink="">
          <xdr:nvSpPr>
            <xdr:cNvPr id="2341" name="Group Box 293" hidden="1">
              <a:extLst>
                <a:ext uri="{63B3BB69-23CF-44E3-9099-C40C66FF867C}">
                  <a14:compatExt spid="_x0000_s2341"/>
                </a:ext>
                <a:ext uri="{FF2B5EF4-FFF2-40B4-BE49-F238E27FC236}">
                  <a16:creationId xmlns:a16="http://schemas.microsoft.com/office/drawing/2014/main" id="{00000000-0008-0000-0300-000025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0</xdr:rowOff>
        </xdr:from>
        <xdr:to>
          <xdr:col>10</xdr:col>
          <xdr:colOff>66675</xdr:colOff>
          <xdr:row>22</xdr:row>
          <xdr:rowOff>257175</xdr:rowOff>
        </xdr:to>
        <xdr:sp macro="" textlink="">
          <xdr:nvSpPr>
            <xdr:cNvPr id="2342" name="Group Box 294" hidden="1">
              <a:extLst>
                <a:ext uri="{63B3BB69-23CF-44E3-9099-C40C66FF867C}">
                  <a14:compatExt spid="_x0000_s2342"/>
                </a:ext>
                <a:ext uri="{FF2B5EF4-FFF2-40B4-BE49-F238E27FC236}">
                  <a16:creationId xmlns:a16="http://schemas.microsoft.com/office/drawing/2014/main" id="{00000000-0008-0000-0300-000026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12</xdr:col>
          <xdr:colOff>9525</xdr:colOff>
          <xdr:row>22</xdr:row>
          <xdr:rowOff>200025</xdr:rowOff>
        </xdr:to>
        <xdr:sp macro="" textlink="">
          <xdr:nvSpPr>
            <xdr:cNvPr id="2343" name="Group Box 295" hidden="1">
              <a:extLst>
                <a:ext uri="{63B3BB69-23CF-44E3-9099-C40C66FF867C}">
                  <a14:compatExt spid="_x0000_s2343"/>
                </a:ext>
                <a:ext uri="{FF2B5EF4-FFF2-40B4-BE49-F238E27FC236}">
                  <a16:creationId xmlns:a16="http://schemas.microsoft.com/office/drawing/2014/main" id="{00000000-0008-0000-0300-000027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12</xdr:col>
          <xdr:colOff>9525</xdr:colOff>
          <xdr:row>22</xdr:row>
          <xdr:rowOff>200025</xdr:rowOff>
        </xdr:to>
        <xdr:sp macro="" textlink="">
          <xdr:nvSpPr>
            <xdr:cNvPr id="2344" name="Group Box 296" hidden="1">
              <a:extLst>
                <a:ext uri="{63B3BB69-23CF-44E3-9099-C40C66FF867C}">
                  <a14:compatExt spid="_x0000_s2344"/>
                </a:ext>
                <a:ext uri="{FF2B5EF4-FFF2-40B4-BE49-F238E27FC236}">
                  <a16:creationId xmlns:a16="http://schemas.microsoft.com/office/drawing/2014/main" id="{00000000-0008-0000-0300-000028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12</xdr:col>
          <xdr:colOff>9525</xdr:colOff>
          <xdr:row>22</xdr:row>
          <xdr:rowOff>257175</xdr:rowOff>
        </xdr:to>
        <xdr:sp macro="" textlink="">
          <xdr:nvSpPr>
            <xdr:cNvPr id="2345" name="Group Box 297" hidden="1">
              <a:extLst>
                <a:ext uri="{63B3BB69-23CF-44E3-9099-C40C66FF867C}">
                  <a14:compatExt spid="_x0000_s2345"/>
                </a:ext>
                <a:ext uri="{FF2B5EF4-FFF2-40B4-BE49-F238E27FC236}">
                  <a16:creationId xmlns:a16="http://schemas.microsoft.com/office/drawing/2014/main" id="{00000000-0008-0000-0300-000029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12</xdr:col>
          <xdr:colOff>9525</xdr:colOff>
          <xdr:row>24</xdr:row>
          <xdr:rowOff>95250</xdr:rowOff>
        </xdr:to>
        <xdr:sp macro="" textlink="">
          <xdr:nvSpPr>
            <xdr:cNvPr id="2346" name="Group Box 298" hidden="1">
              <a:extLst>
                <a:ext uri="{63B3BB69-23CF-44E3-9099-C40C66FF867C}">
                  <a14:compatExt spid="_x0000_s2346"/>
                </a:ext>
                <a:ext uri="{FF2B5EF4-FFF2-40B4-BE49-F238E27FC236}">
                  <a16:creationId xmlns:a16="http://schemas.microsoft.com/office/drawing/2014/main" id="{00000000-0008-0000-0300-00002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12</xdr:col>
          <xdr:colOff>9525</xdr:colOff>
          <xdr:row>21</xdr:row>
          <xdr:rowOff>314325</xdr:rowOff>
        </xdr:to>
        <xdr:sp macro="" textlink="">
          <xdr:nvSpPr>
            <xdr:cNvPr id="2347" name="Group Box 299" hidden="1">
              <a:extLst>
                <a:ext uri="{63B3BB69-23CF-44E3-9099-C40C66FF867C}">
                  <a14:compatExt spid="_x0000_s2347"/>
                </a:ext>
                <a:ext uri="{FF2B5EF4-FFF2-40B4-BE49-F238E27FC236}">
                  <a16:creationId xmlns:a16="http://schemas.microsoft.com/office/drawing/2014/main" id="{00000000-0008-0000-0300-00002B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12</xdr:col>
          <xdr:colOff>9525</xdr:colOff>
          <xdr:row>25</xdr:row>
          <xdr:rowOff>9525</xdr:rowOff>
        </xdr:to>
        <xdr:sp macro="" textlink="">
          <xdr:nvSpPr>
            <xdr:cNvPr id="2349" name="Group Box 301" hidden="1">
              <a:extLst>
                <a:ext uri="{63B3BB69-23CF-44E3-9099-C40C66FF867C}">
                  <a14:compatExt spid="_x0000_s2349"/>
                </a:ext>
                <a:ext uri="{FF2B5EF4-FFF2-40B4-BE49-F238E27FC236}">
                  <a16:creationId xmlns:a16="http://schemas.microsoft.com/office/drawing/2014/main" id="{00000000-0008-0000-0300-00002D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12</xdr:col>
          <xdr:colOff>9525</xdr:colOff>
          <xdr:row>25</xdr:row>
          <xdr:rowOff>123825</xdr:rowOff>
        </xdr:to>
        <xdr:sp macro="" textlink="">
          <xdr:nvSpPr>
            <xdr:cNvPr id="2350" name="Group Box 302" hidden="1">
              <a:extLst>
                <a:ext uri="{63B3BB69-23CF-44E3-9099-C40C66FF867C}">
                  <a14:compatExt spid="_x0000_s2350"/>
                </a:ext>
                <a:ext uri="{FF2B5EF4-FFF2-40B4-BE49-F238E27FC236}">
                  <a16:creationId xmlns:a16="http://schemas.microsoft.com/office/drawing/2014/main" id="{00000000-0008-0000-0300-00002E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0</xdr:rowOff>
        </xdr:from>
        <xdr:to>
          <xdr:col>8</xdr:col>
          <xdr:colOff>638175</xdr:colOff>
          <xdr:row>25</xdr:row>
          <xdr:rowOff>123825</xdr:rowOff>
        </xdr:to>
        <xdr:sp macro="" textlink="">
          <xdr:nvSpPr>
            <xdr:cNvPr id="2351" name="Group Box 303" hidden="1">
              <a:extLst>
                <a:ext uri="{63B3BB69-23CF-44E3-9099-C40C66FF867C}">
                  <a14:compatExt spid="_x0000_s2351"/>
                </a:ext>
                <a:ext uri="{FF2B5EF4-FFF2-40B4-BE49-F238E27FC236}">
                  <a16:creationId xmlns:a16="http://schemas.microsoft.com/office/drawing/2014/main" id="{00000000-0008-0000-0300-00002F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12</xdr:col>
          <xdr:colOff>9525</xdr:colOff>
          <xdr:row>25</xdr:row>
          <xdr:rowOff>66675</xdr:rowOff>
        </xdr:to>
        <xdr:sp macro="" textlink="">
          <xdr:nvSpPr>
            <xdr:cNvPr id="2352" name="Group Box 304" hidden="1">
              <a:extLst>
                <a:ext uri="{63B3BB69-23CF-44E3-9099-C40C66FF867C}">
                  <a14:compatExt spid="_x0000_s2352"/>
                </a:ext>
                <a:ext uri="{FF2B5EF4-FFF2-40B4-BE49-F238E27FC236}">
                  <a16:creationId xmlns:a16="http://schemas.microsoft.com/office/drawing/2014/main" id="{00000000-0008-0000-0300-000030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0</xdr:rowOff>
        </xdr:from>
        <xdr:to>
          <xdr:col>10</xdr:col>
          <xdr:colOff>0</xdr:colOff>
          <xdr:row>25</xdr:row>
          <xdr:rowOff>66675</xdr:rowOff>
        </xdr:to>
        <xdr:sp macro="" textlink="">
          <xdr:nvSpPr>
            <xdr:cNvPr id="2353" name="Group Box 305" hidden="1">
              <a:extLst>
                <a:ext uri="{63B3BB69-23CF-44E3-9099-C40C66FF867C}">
                  <a14:compatExt spid="_x0000_s2353"/>
                </a:ext>
                <a:ext uri="{FF2B5EF4-FFF2-40B4-BE49-F238E27FC236}">
                  <a16:creationId xmlns:a16="http://schemas.microsoft.com/office/drawing/2014/main" id="{00000000-0008-0000-0300-000031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10</xdr:col>
          <xdr:colOff>66675</xdr:colOff>
          <xdr:row>25</xdr:row>
          <xdr:rowOff>47625</xdr:rowOff>
        </xdr:to>
        <xdr:sp macro="" textlink="">
          <xdr:nvSpPr>
            <xdr:cNvPr id="2354" name="Group Box 306" hidden="1">
              <a:extLst>
                <a:ext uri="{63B3BB69-23CF-44E3-9099-C40C66FF867C}">
                  <a14:compatExt spid="_x0000_s2354"/>
                </a:ext>
                <a:ext uri="{FF2B5EF4-FFF2-40B4-BE49-F238E27FC236}">
                  <a16:creationId xmlns:a16="http://schemas.microsoft.com/office/drawing/2014/main" id="{00000000-0008-0000-0300-000032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12</xdr:col>
          <xdr:colOff>9525</xdr:colOff>
          <xdr:row>25</xdr:row>
          <xdr:rowOff>123825</xdr:rowOff>
        </xdr:to>
        <xdr:sp macro="" textlink="">
          <xdr:nvSpPr>
            <xdr:cNvPr id="2355" name="Group Box 307" hidden="1">
              <a:extLst>
                <a:ext uri="{63B3BB69-23CF-44E3-9099-C40C66FF867C}">
                  <a14:compatExt spid="_x0000_s2355"/>
                </a:ext>
                <a:ext uri="{FF2B5EF4-FFF2-40B4-BE49-F238E27FC236}">
                  <a16:creationId xmlns:a16="http://schemas.microsoft.com/office/drawing/2014/main" id="{00000000-0008-0000-0300-000033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12</xdr:col>
          <xdr:colOff>9525</xdr:colOff>
          <xdr:row>25</xdr:row>
          <xdr:rowOff>0</xdr:rowOff>
        </xdr:to>
        <xdr:sp macro="" textlink="">
          <xdr:nvSpPr>
            <xdr:cNvPr id="2356" name="Group Box 308" hidden="1">
              <a:extLst>
                <a:ext uri="{63B3BB69-23CF-44E3-9099-C40C66FF867C}">
                  <a14:compatExt spid="_x0000_s2356"/>
                </a:ext>
                <a:ext uri="{FF2B5EF4-FFF2-40B4-BE49-F238E27FC236}">
                  <a16:creationId xmlns:a16="http://schemas.microsoft.com/office/drawing/2014/main" id="{00000000-0008-0000-0300-000034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12</xdr:col>
          <xdr:colOff>9525</xdr:colOff>
          <xdr:row>25</xdr:row>
          <xdr:rowOff>0</xdr:rowOff>
        </xdr:to>
        <xdr:sp macro="" textlink="">
          <xdr:nvSpPr>
            <xdr:cNvPr id="2357" name="Group Box 309" hidden="1">
              <a:extLst>
                <a:ext uri="{63B3BB69-23CF-44E3-9099-C40C66FF867C}">
                  <a14:compatExt spid="_x0000_s2357"/>
                </a:ext>
                <a:ext uri="{FF2B5EF4-FFF2-40B4-BE49-F238E27FC236}">
                  <a16:creationId xmlns:a16="http://schemas.microsoft.com/office/drawing/2014/main" id="{00000000-0008-0000-0300-000035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12</xdr:col>
          <xdr:colOff>9525</xdr:colOff>
          <xdr:row>25</xdr:row>
          <xdr:rowOff>66675</xdr:rowOff>
        </xdr:to>
        <xdr:sp macro="" textlink="">
          <xdr:nvSpPr>
            <xdr:cNvPr id="2358" name="Group Box 310" hidden="1">
              <a:extLst>
                <a:ext uri="{63B3BB69-23CF-44E3-9099-C40C66FF867C}">
                  <a14:compatExt spid="_x0000_s2358"/>
                </a:ext>
                <a:ext uri="{FF2B5EF4-FFF2-40B4-BE49-F238E27FC236}">
                  <a16:creationId xmlns:a16="http://schemas.microsoft.com/office/drawing/2014/main" id="{00000000-0008-0000-0300-000036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0</xdr:rowOff>
        </xdr:from>
        <xdr:to>
          <xdr:col>10</xdr:col>
          <xdr:colOff>0</xdr:colOff>
          <xdr:row>25</xdr:row>
          <xdr:rowOff>66675</xdr:rowOff>
        </xdr:to>
        <xdr:sp macro="" textlink="">
          <xdr:nvSpPr>
            <xdr:cNvPr id="2359" name="Group Box 311" hidden="1">
              <a:extLst>
                <a:ext uri="{63B3BB69-23CF-44E3-9099-C40C66FF867C}">
                  <a14:compatExt spid="_x0000_s2359"/>
                </a:ext>
                <a:ext uri="{FF2B5EF4-FFF2-40B4-BE49-F238E27FC236}">
                  <a16:creationId xmlns:a16="http://schemas.microsoft.com/office/drawing/2014/main" id="{00000000-0008-0000-0300-000037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10</xdr:col>
          <xdr:colOff>66675</xdr:colOff>
          <xdr:row>25</xdr:row>
          <xdr:rowOff>66675</xdr:rowOff>
        </xdr:to>
        <xdr:sp macro="" textlink="">
          <xdr:nvSpPr>
            <xdr:cNvPr id="2360" name="Group Box 312" hidden="1">
              <a:extLst>
                <a:ext uri="{63B3BB69-23CF-44E3-9099-C40C66FF867C}">
                  <a14:compatExt spid="_x0000_s2360"/>
                </a:ext>
                <a:ext uri="{FF2B5EF4-FFF2-40B4-BE49-F238E27FC236}">
                  <a16:creationId xmlns:a16="http://schemas.microsoft.com/office/drawing/2014/main" id="{00000000-0008-0000-0300-000038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12</xdr:col>
          <xdr:colOff>9525</xdr:colOff>
          <xdr:row>25</xdr:row>
          <xdr:rowOff>123825</xdr:rowOff>
        </xdr:to>
        <xdr:sp macro="" textlink="">
          <xdr:nvSpPr>
            <xdr:cNvPr id="2361" name="Group Box 313" hidden="1">
              <a:extLst>
                <a:ext uri="{63B3BB69-23CF-44E3-9099-C40C66FF867C}">
                  <a14:compatExt spid="_x0000_s2361"/>
                </a:ext>
                <a:ext uri="{FF2B5EF4-FFF2-40B4-BE49-F238E27FC236}">
                  <a16:creationId xmlns:a16="http://schemas.microsoft.com/office/drawing/2014/main" id="{00000000-0008-0000-0300-000039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12</xdr:col>
          <xdr:colOff>9525</xdr:colOff>
          <xdr:row>25</xdr:row>
          <xdr:rowOff>9525</xdr:rowOff>
        </xdr:to>
        <xdr:sp macro="" textlink="">
          <xdr:nvSpPr>
            <xdr:cNvPr id="2362" name="Group Box 314" hidden="1">
              <a:extLst>
                <a:ext uri="{63B3BB69-23CF-44E3-9099-C40C66FF867C}">
                  <a14:compatExt spid="_x0000_s2362"/>
                </a:ext>
                <a:ext uri="{FF2B5EF4-FFF2-40B4-BE49-F238E27FC236}">
                  <a16:creationId xmlns:a16="http://schemas.microsoft.com/office/drawing/2014/main" id="{00000000-0008-0000-0300-00003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0</xdr:rowOff>
        </xdr:from>
        <xdr:to>
          <xdr:col>10</xdr:col>
          <xdr:colOff>66675</xdr:colOff>
          <xdr:row>25</xdr:row>
          <xdr:rowOff>257175</xdr:rowOff>
        </xdr:to>
        <xdr:sp macro="" textlink="">
          <xdr:nvSpPr>
            <xdr:cNvPr id="2363" name="Group Box 315" hidden="1">
              <a:extLst>
                <a:ext uri="{63B3BB69-23CF-44E3-9099-C40C66FF867C}">
                  <a14:compatExt spid="_x0000_s2363"/>
                </a:ext>
                <a:ext uri="{FF2B5EF4-FFF2-40B4-BE49-F238E27FC236}">
                  <a16:creationId xmlns:a16="http://schemas.microsoft.com/office/drawing/2014/main" id="{00000000-0008-0000-0300-00003B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12</xdr:col>
          <xdr:colOff>9525</xdr:colOff>
          <xdr:row>25</xdr:row>
          <xdr:rowOff>200025</xdr:rowOff>
        </xdr:to>
        <xdr:sp macro="" textlink="">
          <xdr:nvSpPr>
            <xdr:cNvPr id="2364" name="Group Box 316" hidden="1">
              <a:extLst>
                <a:ext uri="{63B3BB69-23CF-44E3-9099-C40C66FF867C}">
                  <a14:compatExt spid="_x0000_s2364"/>
                </a:ext>
                <a:ext uri="{FF2B5EF4-FFF2-40B4-BE49-F238E27FC236}">
                  <a16:creationId xmlns:a16="http://schemas.microsoft.com/office/drawing/2014/main" id="{00000000-0008-0000-0300-00003C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12</xdr:col>
          <xdr:colOff>9525</xdr:colOff>
          <xdr:row>25</xdr:row>
          <xdr:rowOff>200025</xdr:rowOff>
        </xdr:to>
        <xdr:sp macro="" textlink="">
          <xdr:nvSpPr>
            <xdr:cNvPr id="2365" name="Group Box 317" hidden="1">
              <a:extLst>
                <a:ext uri="{63B3BB69-23CF-44E3-9099-C40C66FF867C}">
                  <a14:compatExt spid="_x0000_s2365"/>
                </a:ext>
                <a:ext uri="{FF2B5EF4-FFF2-40B4-BE49-F238E27FC236}">
                  <a16:creationId xmlns:a16="http://schemas.microsoft.com/office/drawing/2014/main" id="{00000000-0008-0000-0300-00003D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12</xdr:col>
          <xdr:colOff>9525</xdr:colOff>
          <xdr:row>25</xdr:row>
          <xdr:rowOff>257175</xdr:rowOff>
        </xdr:to>
        <xdr:sp macro="" textlink="">
          <xdr:nvSpPr>
            <xdr:cNvPr id="2366" name="Group Box 318" hidden="1">
              <a:extLst>
                <a:ext uri="{63B3BB69-23CF-44E3-9099-C40C66FF867C}">
                  <a14:compatExt spid="_x0000_s2366"/>
                </a:ext>
                <a:ext uri="{FF2B5EF4-FFF2-40B4-BE49-F238E27FC236}">
                  <a16:creationId xmlns:a16="http://schemas.microsoft.com/office/drawing/2014/main" id="{00000000-0008-0000-0300-00003E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0</xdr:rowOff>
        </xdr:from>
        <xdr:to>
          <xdr:col>12</xdr:col>
          <xdr:colOff>9525</xdr:colOff>
          <xdr:row>29</xdr:row>
          <xdr:rowOff>28575</xdr:rowOff>
        </xdr:to>
        <xdr:sp macro="" textlink="">
          <xdr:nvSpPr>
            <xdr:cNvPr id="2367" name="Group Box 319" hidden="1">
              <a:extLst>
                <a:ext uri="{63B3BB69-23CF-44E3-9099-C40C66FF867C}">
                  <a14:compatExt spid="_x0000_s2367"/>
                </a:ext>
                <a:ext uri="{FF2B5EF4-FFF2-40B4-BE49-F238E27FC236}">
                  <a16:creationId xmlns:a16="http://schemas.microsoft.com/office/drawing/2014/main" id="{00000000-0008-0000-0300-00003F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12</xdr:col>
          <xdr:colOff>9525</xdr:colOff>
          <xdr:row>25</xdr:row>
          <xdr:rowOff>123825</xdr:rowOff>
        </xdr:to>
        <xdr:sp macro="" textlink="">
          <xdr:nvSpPr>
            <xdr:cNvPr id="2368" name="Group Box 320" hidden="1">
              <a:extLst>
                <a:ext uri="{63B3BB69-23CF-44E3-9099-C40C66FF867C}">
                  <a14:compatExt spid="_x0000_s2368"/>
                </a:ext>
                <a:ext uri="{FF2B5EF4-FFF2-40B4-BE49-F238E27FC236}">
                  <a16:creationId xmlns:a16="http://schemas.microsoft.com/office/drawing/2014/main" id="{00000000-0008-0000-0300-000040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0</xdr:rowOff>
        </xdr:from>
        <xdr:to>
          <xdr:col>2</xdr:col>
          <xdr:colOff>2619375</xdr:colOff>
          <xdr:row>32</xdr:row>
          <xdr:rowOff>104775</xdr:rowOff>
        </xdr:to>
        <xdr:sp macro="" textlink="">
          <xdr:nvSpPr>
            <xdr:cNvPr id="2369" name="Group Box 321" hidden="1">
              <a:extLst>
                <a:ext uri="{63B3BB69-23CF-44E3-9099-C40C66FF867C}">
                  <a14:compatExt spid="_x0000_s2369"/>
                </a:ext>
                <a:ext uri="{FF2B5EF4-FFF2-40B4-BE49-F238E27FC236}">
                  <a16:creationId xmlns:a16="http://schemas.microsoft.com/office/drawing/2014/main" id="{00000000-0008-0000-0300-000041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9525</xdr:colOff>
          <xdr:row>33</xdr:row>
          <xdr:rowOff>104775</xdr:rowOff>
        </xdr:to>
        <xdr:sp macro="" textlink="">
          <xdr:nvSpPr>
            <xdr:cNvPr id="2370" name="Group Box 322" hidden="1">
              <a:extLst>
                <a:ext uri="{63B3BB69-23CF-44E3-9099-C40C66FF867C}">
                  <a14:compatExt spid="_x0000_s2370"/>
                </a:ext>
                <a:ext uri="{FF2B5EF4-FFF2-40B4-BE49-F238E27FC236}">
                  <a16:creationId xmlns:a16="http://schemas.microsoft.com/office/drawing/2014/main" id="{00000000-0008-0000-0300-000042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9525</xdr:colOff>
          <xdr:row>33</xdr:row>
          <xdr:rowOff>104775</xdr:rowOff>
        </xdr:to>
        <xdr:sp macro="" textlink="">
          <xdr:nvSpPr>
            <xdr:cNvPr id="2371" name="Group Box 323" hidden="1">
              <a:extLst>
                <a:ext uri="{63B3BB69-23CF-44E3-9099-C40C66FF867C}">
                  <a14:compatExt spid="_x0000_s2371"/>
                </a:ext>
                <a:ext uri="{FF2B5EF4-FFF2-40B4-BE49-F238E27FC236}">
                  <a16:creationId xmlns:a16="http://schemas.microsoft.com/office/drawing/2014/main" id="{00000000-0008-0000-0300-000043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2638425</xdr:colOff>
          <xdr:row>33</xdr:row>
          <xdr:rowOff>104775</xdr:rowOff>
        </xdr:to>
        <xdr:sp macro="" textlink="">
          <xdr:nvSpPr>
            <xdr:cNvPr id="2372" name="Group Box 324" hidden="1">
              <a:extLst>
                <a:ext uri="{63B3BB69-23CF-44E3-9099-C40C66FF867C}">
                  <a14:compatExt spid="_x0000_s2372"/>
                </a:ext>
                <a:ext uri="{FF2B5EF4-FFF2-40B4-BE49-F238E27FC236}">
                  <a16:creationId xmlns:a16="http://schemas.microsoft.com/office/drawing/2014/main" id="{00000000-0008-0000-0300-000044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2638425</xdr:colOff>
          <xdr:row>33</xdr:row>
          <xdr:rowOff>104775</xdr:rowOff>
        </xdr:to>
        <xdr:sp macro="" textlink="">
          <xdr:nvSpPr>
            <xdr:cNvPr id="2373" name="Group Box 325" hidden="1">
              <a:extLst>
                <a:ext uri="{63B3BB69-23CF-44E3-9099-C40C66FF867C}">
                  <a14:compatExt spid="_x0000_s2373"/>
                </a:ext>
                <a:ext uri="{FF2B5EF4-FFF2-40B4-BE49-F238E27FC236}">
                  <a16:creationId xmlns:a16="http://schemas.microsoft.com/office/drawing/2014/main" id="{00000000-0008-0000-0300-000045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2638425</xdr:colOff>
          <xdr:row>33</xdr:row>
          <xdr:rowOff>104775</xdr:rowOff>
        </xdr:to>
        <xdr:sp macro="" textlink="">
          <xdr:nvSpPr>
            <xdr:cNvPr id="2374" name="Group Box 326" hidden="1">
              <a:extLst>
                <a:ext uri="{63B3BB69-23CF-44E3-9099-C40C66FF867C}">
                  <a14:compatExt spid="_x0000_s2374"/>
                </a:ext>
                <a:ext uri="{FF2B5EF4-FFF2-40B4-BE49-F238E27FC236}">
                  <a16:creationId xmlns:a16="http://schemas.microsoft.com/office/drawing/2014/main" id="{00000000-0008-0000-0300-000046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2638425</xdr:colOff>
          <xdr:row>33</xdr:row>
          <xdr:rowOff>104775</xdr:rowOff>
        </xdr:to>
        <xdr:sp macro="" textlink="">
          <xdr:nvSpPr>
            <xdr:cNvPr id="2375" name="Group Box 327" hidden="1">
              <a:extLst>
                <a:ext uri="{63B3BB69-23CF-44E3-9099-C40C66FF867C}">
                  <a14:compatExt spid="_x0000_s2375"/>
                </a:ext>
                <a:ext uri="{FF2B5EF4-FFF2-40B4-BE49-F238E27FC236}">
                  <a16:creationId xmlns:a16="http://schemas.microsoft.com/office/drawing/2014/main" id="{00000000-0008-0000-0300-000047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47625</xdr:rowOff>
        </xdr:to>
        <xdr:sp macro="" textlink="">
          <xdr:nvSpPr>
            <xdr:cNvPr id="2376" name="Group Box 328" hidden="1">
              <a:extLst>
                <a:ext uri="{63B3BB69-23CF-44E3-9099-C40C66FF867C}">
                  <a14:compatExt spid="_x0000_s2376"/>
                </a:ext>
                <a:ext uri="{FF2B5EF4-FFF2-40B4-BE49-F238E27FC236}">
                  <a16:creationId xmlns:a16="http://schemas.microsoft.com/office/drawing/2014/main" id="{00000000-0008-0000-0300-000048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0</xdr:rowOff>
        </xdr:from>
        <xdr:to>
          <xdr:col>2</xdr:col>
          <xdr:colOff>2600325</xdr:colOff>
          <xdr:row>35</xdr:row>
          <xdr:rowOff>228600</xdr:rowOff>
        </xdr:to>
        <xdr:sp macro="" textlink="">
          <xdr:nvSpPr>
            <xdr:cNvPr id="2377" name="Group Box 329" hidden="1">
              <a:extLst>
                <a:ext uri="{63B3BB69-23CF-44E3-9099-C40C66FF867C}">
                  <a14:compatExt spid="_x0000_s2377"/>
                </a:ext>
                <a:ext uri="{FF2B5EF4-FFF2-40B4-BE49-F238E27FC236}">
                  <a16:creationId xmlns:a16="http://schemas.microsoft.com/office/drawing/2014/main" id="{00000000-0008-0000-0300-000049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0</xdr:rowOff>
        </xdr:from>
        <xdr:to>
          <xdr:col>2</xdr:col>
          <xdr:colOff>2057400</xdr:colOff>
          <xdr:row>35</xdr:row>
          <xdr:rowOff>228600</xdr:rowOff>
        </xdr:to>
        <xdr:sp macro="" textlink="">
          <xdr:nvSpPr>
            <xdr:cNvPr id="2378" name="Group Box 330" hidden="1">
              <a:extLst>
                <a:ext uri="{63B3BB69-23CF-44E3-9099-C40C66FF867C}">
                  <a14:compatExt spid="_x0000_s2378"/>
                </a:ext>
                <a:ext uri="{FF2B5EF4-FFF2-40B4-BE49-F238E27FC236}">
                  <a16:creationId xmlns:a16="http://schemas.microsoft.com/office/drawing/2014/main" id="{00000000-0008-0000-0300-00004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0</xdr:rowOff>
        </xdr:from>
        <xdr:to>
          <xdr:col>2</xdr:col>
          <xdr:colOff>2124075</xdr:colOff>
          <xdr:row>35</xdr:row>
          <xdr:rowOff>219075</xdr:rowOff>
        </xdr:to>
        <xdr:sp macro="" textlink="">
          <xdr:nvSpPr>
            <xdr:cNvPr id="2379" name="Group Box 331" hidden="1">
              <a:extLst>
                <a:ext uri="{63B3BB69-23CF-44E3-9099-C40C66FF867C}">
                  <a14:compatExt spid="_x0000_s2379"/>
                </a:ext>
                <a:ext uri="{FF2B5EF4-FFF2-40B4-BE49-F238E27FC236}">
                  <a16:creationId xmlns:a16="http://schemas.microsoft.com/office/drawing/2014/main" id="{00000000-0008-0000-0300-00004B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38100</xdr:rowOff>
        </xdr:to>
        <xdr:sp macro="" textlink="">
          <xdr:nvSpPr>
            <xdr:cNvPr id="2380" name="Group Box 332" hidden="1">
              <a:extLst>
                <a:ext uri="{63B3BB69-23CF-44E3-9099-C40C66FF867C}">
                  <a14:compatExt spid="_x0000_s2380"/>
                </a:ext>
                <a:ext uri="{FF2B5EF4-FFF2-40B4-BE49-F238E27FC236}">
                  <a16:creationId xmlns:a16="http://schemas.microsoft.com/office/drawing/2014/main" id="{00000000-0008-0000-0300-00004C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38100</xdr:rowOff>
        </xdr:to>
        <xdr:sp macro="" textlink="">
          <xdr:nvSpPr>
            <xdr:cNvPr id="2381" name="Group Box 333" hidden="1">
              <a:extLst>
                <a:ext uri="{63B3BB69-23CF-44E3-9099-C40C66FF867C}">
                  <a14:compatExt spid="_x0000_s2381"/>
                </a:ext>
                <a:ext uri="{FF2B5EF4-FFF2-40B4-BE49-F238E27FC236}">
                  <a16:creationId xmlns:a16="http://schemas.microsoft.com/office/drawing/2014/main" id="{00000000-0008-0000-0300-00004D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0</xdr:rowOff>
        </xdr:from>
        <xdr:to>
          <xdr:col>2</xdr:col>
          <xdr:colOff>2600325</xdr:colOff>
          <xdr:row>35</xdr:row>
          <xdr:rowOff>228600</xdr:rowOff>
        </xdr:to>
        <xdr:sp macro="" textlink="">
          <xdr:nvSpPr>
            <xdr:cNvPr id="2382" name="Group Box 334" hidden="1">
              <a:extLst>
                <a:ext uri="{63B3BB69-23CF-44E3-9099-C40C66FF867C}">
                  <a14:compatExt spid="_x0000_s2382"/>
                </a:ext>
                <a:ext uri="{FF2B5EF4-FFF2-40B4-BE49-F238E27FC236}">
                  <a16:creationId xmlns:a16="http://schemas.microsoft.com/office/drawing/2014/main" id="{00000000-0008-0000-0300-00004E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0</xdr:rowOff>
        </xdr:from>
        <xdr:to>
          <xdr:col>2</xdr:col>
          <xdr:colOff>2057400</xdr:colOff>
          <xdr:row>35</xdr:row>
          <xdr:rowOff>228600</xdr:rowOff>
        </xdr:to>
        <xdr:sp macro="" textlink="">
          <xdr:nvSpPr>
            <xdr:cNvPr id="2383" name="Group Box 335" hidden="1">
              <a:extLst>
                <a:ext uri="{63B3BB69-23CF-44E3-9099-C40C66FF867C}">
                  <a14:compatExt spid="_x0000_s2383"/>
                </a:ext>
                <a:ext uri="{FF2B5EF4-FFF2-40B4-BE49-F238E27FC236}">
                  <a16:creationId xmlns:a16="http://schemas.microsoft.com/office/drawing/2014/main" id="{00000000-0008-0000-0300-00004F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0</xdr:rowOff>
        </xdr:from>
        <xdr:to>
          <xdr:col>2</xdr:col>
          <xdr:colOff>2124075</xdr:colOff>
          <xdr:row>35</xdr:row>
          <xdr:rowOff>228600</xdr:rowOff>
        </xdr:to>
        <xdr:sp macro="" textlink="">
          <xdr:nvSpPr>
            <xdr:cNvPr id="2384" name="Group Box 336" hidden="1">
              <a:extLst>
                <a:ext uri="{63B3BB69-23CF-44E3-9099-C40C66FF867C}">
                  <a14:compatExt spid="_x0000_s2384"/>
                </a:ext>
                <a:ext uri="{FF2B5EF4-FFF2-40B4-BE49-F238E27FC236}">
                  <a16:creationId xmlns:a16="http://schemas.microsoft.com/office/drawing/2014/main" id="{00000000-0008-0000-0300-000050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47625</xdr:rowOff>
        </xdr:to>
        <xdr:sp macro="" textlink="">
          <xdr:nvSpPr>
            <xdr:cNvPr id="2385" name="Group Box 337" hidden="1">
              <a:extLst>
                <a:ext uri="{63B3BB69-23CF-44E3-9099-C40C66FF867C}">
                  <a14:compatExt spid="_x0000_s2385"/>
                </a:ext>
                <a:ext uri="{FF2B5EF4-FFF2-40B4-BE49-F238E27FC236}">
                  <a16:creationId xmlns:a16="http://schemas.microsoft.com/office/drawing/2014/main" id="{00000000-0008-0000-0300-000051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ecd-ilibrary.org/fr/education/oecd-handbook-for-internationally-comparative-education-statistics-2018_9789264304444-e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DU.LSONetwork@oec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omments" Target="../comments1.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O35"/>
  <sheetViews>
    <sheetView tabSelected="1" zoomScaleNormal="100" zoomScaleSheetLayoutView="100" workbookViewId="0">
      <pane ySplit="11" topLeftCell="A12" activePane="bottomLeft" state="frozen"/>
      <selection pane="bottomLeft"/>
    </sheetView>
  </sheetViews>
  <sheetFormatPr defaultColWidth="9.140625" defaultRowHeight="12.75"/>
  <cols>
    <col min="1" max="1" width="3.140625" style="19" customWidth="1"/>
    <col min="2" max="2" width="16.42578125" style="19" customWidth="1"/>
    <col min="3" max="3" width="24.7109375" style="19" customWidth="1"/>
    <col min="4" max="6" width="9.140625" style="19"/>
    <col min="7" max="7" width="9.140625" style="19" customWidth="1"/>
    <col min="8" max="8" width="6" style="19" customWidth="1"/>
    <col min="9" max="14" width="9.140625" style="19"/>
    <col min="15" max="15" width="10.140625" style="19" bestFit="1" customWidth="1"/>
    <col min="16" max="16384" width="9.140625" style="19"/>
  </cols>
  <sheetData>
    <row r="1" spans="2:15" ht="13.5" thickBot="1"/>
    <row r="2" spans="2:15">
      <c r="B2" s="20"/>
      <c r="C2" s="21"/>
      <c r="D2" s="21"/>
      <c r="E2" s="21"/>
      <c r="F2" s="29"/>
      <c r="G2" s="29"/>
      <c r="H2" s="29"/>
      <c r="I2" s="29"/>
      <c r="J2" s="29"/>
      <c r="K2" s="29"/>
      <c r="L2" s="29"/>
      <c r="M2" s="29"/>
      <c r="N2" s="29"/>
      <c r="O2" s="30"/>
    </row>
    <row r="3" spans="2:15" ht="18">
      <c r="B3" s="23"/>
      <c r="C3" s="24"/>
      <c r="D3" s="24"/>
      <c r="E3" s="24"/>
      <c r="F3" s="31"/>
      <c r="G3" s="52" t="s">
        <v>226</v>
      </c>
      <c r="H3" s="52"/>
      <c r="I3" s="52"/>
      <c r="J3" s="31"/>
      <c r="K3" s="31"/>
      <c r="L3" s="31"/>
      <c r="M3" s="31"/>
      <c r="N3" s="31"/>
      <c r="O3" s="32"/>
    </row>
    <row r="4" spans="2:15" ht="12.75" customHeight="1">
      <c r="B4" s="23"/>
      <c r="C4" s="24"/>
      <c r="D4" s="24"/>
      <c r="E4" s="24"/>
      <c r="F4" s="31"/>
      <c r="G4" s="52"/>
      <c r="H4" s="52"/>
      <c r="I4" s="52"/>
      <c r="J4" s="31"/>
      <c r="K4" s="31"/>
      <c r="L4" s="31"/>
      <c r="M4" s="31"/>
      <c r="N4" s="31"/>
      <c r="O4" s="32"/>
    </row>
    <row r="5" spans="2:15">
      <c r="B5" s="23"/>
      <c r="C5" s="24"/>
      <c r="D5" s="24"/>
      <c r="E5" s="24"/>
      <c r="F5" s="31"/>
      <c r="G5" s="51" t="s">
        <v>171</v>
      </c>
      <c r="H5" s="31"/>
      <c r="I5" s="31"/>
      <c r="J5" s="31"/>
      <c r="K5" s="31"/>
      <c r="L5" s="31"/>
      <c r="M5" s="31"/>
      <c r="N5" s="31"/>
      <c r="O5" s="32"/>
    </row>
    <row r="6" spans="2:15">
      <c r="B6" s="23"/>
      <c r="C6" s="24"/>
      <c r="D6" s="24"/>
      <c r="E6" s="24"/>
      <c r="F6" s="31"/>
      <c r="G6" s="31"/>
      <c r="H6" s="31"/>
      <c r="I6" s="31"/>
      <c r="J6" s="31"/>
      <c r="K6" s="31"/>
      <c r="L6" s="31"/>
      <c r="M6" s="31"/>
      <c r="N6" s="31"/>
      <c r="O6" s="32"/>
    </row>
    <row r="7" spans="2:15">
      <c r="B7" s="34"/>
      <c r="C7" s="35"/>
      <c r="D7" s="35"/>
      <c r="E7" s="35"/>
      <c r="F7" s="31"/>
      <c r="G7" s="230" t="s">
        <v>27</v>
      </c>
      <c r="H7" s="230"/>
      <c r="I7" s="72">
        <v>2022</v>
      </c>
      <c r="J7" s="31"/>
      <c r="K7" s="31"/>
      <c r="L7" s="31"/>
      <c r="M7" s="31"/>
      <c r="N7" s="31"/>
      <c r="O7" s="32"/>
    </row>
    <row r="8" spans="2:15">
      <c r="B8" s="23"/>
      <c r="C8" s="24"/>
      <c r="D8" s="24"/>
      <c r="E8" s="24"/>
      <c r="F8" s="31"/>
      <c r="G8" s="31"/>
      <c r="H8" s="31"/>
      <c r="I8" s="31"/>
      <c r="J8" s="31"/>
      <c r="K8" s="31"/>
      <c r="L8" s="31"/>
      <c r="M8" s="31"/>
      <c r="N8" s="31"/>
      <c r="O8" s="32"/>
    </row>
    <row r="9" spans="2:15">
      <c r="B9" s="23"/>
      <c r="C9" s="24"/>
      <c r="D9" s="24"/>
      <c r="E9" s="24"/>
      <c r="F9" s="31"/>
      <c r="G9" s="31"/>
      <c r="H9" s="31"/>
      <c r="I9" s="31"/>
      <c r="J9" s="31"/>
      <c r="K9" s="31"/>
      <c r="L9" s="31"/>
      <c r="M9" s="31"/>
      <c r="N9" s="31"/>
      <c r="O9" s="32"/>
    </row>
    <row r="10" spans="2:15">
      <c r="B10" s="23"/>
      <c r="C10" s="24"/>
      <c r="D10" s="24"/>
      <c r="E10" s="24"/>
      <c r="F10" s="31"/>
      <c r="G10" s="31"/>
      <c r="H10" s="31"/>
      <c r="I10" s="31"/>
      <c r="J10" s="31"/>
      <c r="K10" s="31"/>
      <c r="L10" s="31"/>
      <c r="M10" s="31"/>
      <c r="N10" s="31"/>
      <c r="O10" s="32"/>
    </row>
    <row r="11" spans="2:15" ht="13.5" thickBot="1">
      <c r="B11" s="26"/>
      <c r="C11" s="27"/>
      <c r="D11" s="27"/>
      <c r="E11" s="27"/>
      <c r="F11" s="33"/>
      <c r="G11" s="33"/>
      <c r="H11" s="33"/>
      <c r="I11" s="33"/>
      <c r="J11" s="33"/>
      <c r="K11" s="33"/>
      <c r="L11" s="33"/>
      <c r="M11" s="33"/>
      <c r="N11" s="33"/>
      <c r="O11" s="82">
        <v>44901</v>
      </c>
    </row>
    <row r="12" spans="2:15">
      <c r="B12" s="20"/>
      <c r="C12" s="21"/>
      <c r="D12" s="21"/>
      <c r="E12" s="21"/>
      <c r="F12" s="21"/>
      <c r="G12" s="21"/>
      <c r="H12" s="21"/>
      <c r="I12" s="21"/>
      <c r="J12" s="21"/>
      <c r="K12" s="21"/>
      <c r="L12" s="21"/>
      <c r="M12" s="21"/>
      <c r="N12" s="21"/>
      <c r="O12" s="22"/>
    </row>
    <row r="13" spans="2:15" s="36" customFormat="1" ht="47.1" customHeight="1">
      <c r="B13" s="227" t="s">
        <v>74</v>
      </c>
      <c r="C13" s="229" t="s">
        <v>218</v>
      </c>
      <c r="D13" s="229"/>
      <c r="E13" s="229"/>
      <c r="F13" s="229"/>
      <c r="G13" s="229"/>
      <c r="H13" s="229"/>
      <c r="I13" s="229"/>
      <c r="J13" s="229"/>
      <c r="K13" s="229"/>
      <c r="L13" s="229"/>
      <c r="M13" s="229"/>
      <c r="N13" s="229"/>
      <c r="O13" s="56"/>
    </row>
    <row r="14" spans="2:15" ht="12.6" customHeight="1">
      <c r="B14" s="228"/>
      <c r="C14" s="38"/>
      <c r="D14" s="38"/>
      <c r="E14" s="38"/>
      <c r="F14" s="38"/>
      <c r="G14" s="38"/>
      <c r="H14" s="38"/>
      <c r="I14" s="38"/>
      <c r="J14" s="38"/>
      <c r="K14" s="38"/>
      <c r="L14" s="38"/>
      <c r="M14" s="38"/>
      <c r="N14" s="38"/>
      <c r="O14" s="25"/>
    </row>
    <row r="15" spans="2:15" s="36" customFormat="1" ht="30.95" customHeight="1">
      <c r="B15" s="231" t="s">
        <v>234</v>
      </c>
      <c r="C15" s="233" t="s">
        <v>235</v>
      </c>
      <c r="D15" s="233"/>
      <c r="E15" s="233"/>
      <c r="F15" s="233"/>
      <c r="G15" s="233"/>
      <c r="H15" s="233"/>
      <c r="I15" s="233"/>
      <c r="J15" s="233"/>
      <c r="K15" s="233"/>
      <c r="L15" s="233"/>
      <c r="M15" s="233"/>
      <c r="N15" s="233"/>
      <c r="O15" s="56"/>
    </row>
    <row r="16" spans="2:15" ht="12.6" customHeight="1">
      <c r="B16" s="232"/>
      <c r="C16" s="153"/>
      <c r="D16" s="153"/>
      <c r="E16" s="153"/>
      <c r="F16" s="153"/>
      <c r="G16" s="153"/>
      <c r="H16" s="153"/>
      <c r="I16" s="153"/>
      <c r="J16" s="153"/>
      <c r="K16" s="153"/>
      <c r="L16" s="153"/>
      <c r="M16" s="153"/>
      <c r="N16" s="153"/>
      <c r="O16" s="25"/>
    </row>
    <row r="17" spans="2:15" ht="12.95" customHeight="1">
      <c r="B17" s="227" t="s">
        <v>75</v>
      </c>
      <c r="C17" s="55" t="s">
        <v>195</v>
      </c>
      <c r="D17" s="55"/>
      <c r="E17" s="55"/>
      <c r="F17" s="55"/>
      <c r="G17" s="55"/>
      <c r="H17" s="55"/>
      <c r="I17" s="55"/>
      <c r="J17" s="55"/>
      <c r="K17" s="55"/>
      <c r="L17" s="55"/>
      <c r="M17" s="55"/>
      <c r="N17" s="55"/>
      <c r="O17" s="54"/>
    </row>
    <row r="18" spans="2:15" ht="13.35" customHeight="1">
      <c r="B18" s="228"/>
      <c r="C18" s="38"/>
      <c r="D18" s="38"/>
      <c r="E18" s="38"/>
      <c r="F18" s="38"/>
      <c r="G18" s="38"/>
      <c r="H18" s="38"/>
      <c r="I18" s="38"/>
      <c r="J18" s="38"/>
      <c r="K18" s="38"/>
      <c r="L18" s="38"/>
      <c r="M18" s="38"/>
      <c r="N18" s="38"/>
      <c r="O18" s="25"/>
    </row>
    <row r="19" spans="2:15" ht="15" customHeight="1">
      <c r="B19" s="228"/>
      <c r="C19" s="101" t="s">
        <v>196</v>
      </c>
      <c r="D19" s="234" t="s">
        <v>197</v>
      </c>
      <c r="E19" s="235"/>
      <c r="F19" s="235"/>
      <c r="G19" s="235"/>
      <c r="H19" s="235"/>
      <c r="I19" s="235"/>
      <c r="J19" s="235"/>
      <c r="K19" s="235"/>
      <c r="L19" s="235"/>
      <c r="M19" s="236"/>
      <c r="N19" s="40"/>
      <c r="O19" s="25"/>
    </row>
    <row r="20" spans="2:15" ht="25.5" customHeight="1">
      <c r="B20" s="228"/>
      <c r="C20" s="101" t="s">
        <v>198</v>
      </c>
      <c r="D20" s="237" t="s">
        <v>201</v>
      </c>
      <c r="E20" s="238"/>
      <c r="F20" s="238"/>
      <c r="G20" s="238"/>
      <c r="H20" s="238"/>
      <c r="I20" s="238"/>
      <c r="J20" s="238"/>
      <c r="K20" s="238"/>
      <c r="L20" s="238"/>
      <c r="M20" s="239"/>
      <c r="N20" s="40"/>
      <c r="O20" s="25"/>
    </row>
    <row r="21" spans="2:15" ht="25.5" customHeight="1">
      <c r="B21" s="228"/>
      <c r="C21" s="101" t="s">
        <v>57</v>
      </c>
      <c r="D21" s="234" t="s">
        <v>199</v>
      </c>
      <c r="E21" s="235"/>
      <c r="F21" s="235"/>
      <c r="G21" s="235"/>
      <c r="H21" s="235"/>
      <c r="I21" s="235"/>
      <c r="J21" s="235"/>
      <c r="K21" s="235"/>
      <c r="L21" s="235"/>
      <c r="M21" s="236"/>
      <c r="N21" s="40"/>
      <c r="O21" s="25"/>
    </row>
    <row r="22" spans="2:15" ht="25.5" customHeight="1">
      <c r="B22" s="228"/>
      <c r="C22" s="102" t="s">
        <v>200</v>
      </c>
      <c r="D22" s="226" t="s">
        <v>202</v>
      </c>
      <c r="E22" s="226"/>
      <c r="F22" s="226"/>
      <c r="G22" s="226"/>
      <c r="H22" s="226"/>
      <c r="I22" s="226"/>
      <c r="J22" s="226"/>
      <c r="K22" s="226"/>
      <c r="L22" s="226"/>
      <c r="M22" s="226"/>
      <c r="N22" s="40"/>
      <c r="O22" s="25"/>
    </row>
    <row r="23" spans="2:15" ht="25.5" customHeight="1">
      <c r="B23" s="228"/>
      <c r="C23" s="102" t="s">
        <v>203</v>
      </c>
      <c r="D23" s="240" t="s">
        <v>205</v>
      </c>
      <c r="E23" s="226"/>
      <c r="F23" s="226"/>
      <c r="G23" s="226"/>
      <c r="H23" s="226"/>
      <c r="I23" s="226"/>
      <c r="J23" s="226"/>
      <c r="K23" s="226"/>
      <c r="L23" s="226"/>
      <c r="M23" s="226"/>
      <c r="N23" s="40"/>
      <c r="O23" s="25"/>
    </row>
    <row r="24" spans="2:15" ht="33" customHeight="1">
      <c r="B24" s="228"/>
      <c r="C24" s="102" t="s">
        <v>204</v>
      </c>
      <c r="D24" s="226" t="s">
        <v>231</v>
      </c>
      <c r="E24" s="226"/>
      <c r="F24" s="226"/>
      <c r="G24" s="226"/>
      <c r="H24" s="226"/>
      <c r="I24" s="226"/>
      <c r="J24" s="226"/>
      <c r="K24" s="226"/>
      <c r="L24" s="226"/>
      <c r="M24" s="226"/>
      <c r="N24" s="40"/>
      <c r="O24" s="25"/>
    </row>
    <row r="25" spans="2:15" ht="42" customHeight="1">
      <c r="B25" s="228"/>
      <c r="C25" s="102" t="s">
        <v>206</v>
      </c>
      <c r="D25" s="226" t="s">
        <v>232</v>
      </c>
      <c r="E25" s="226"/>
      <c r="F25" s="226"/>
      <c r="G25" s="226"/>
      <c r="H25" s="226"/>
      <c r="I25" s="226"/>
      <c r="J25" s="226"/>
      <c r="K25" s="226"/>
      <c r="L25" s="226"/>
      <c r="M25" s="226"/>
      <c r="N25" s="40"/>
      <c r="O25" s="25"/>
    </row>
    <row r="26" spans="2:15" ht="13.35" customHeight="1">
      <c r="B26" s="228"/>
      <c r="C26" s="38"/>
      <c r="D26" s="38"/>
      <c r="E26" s="38"/>
      <c r="F26" s="38"/>
      <c r="G26" s="38"/>
      <c r="H26" s="38"/>
      <c r="I26" s="38"/>
      <c r="J26" s="38"/>
      <c r="K26" s="38"/>
      <c r="L26" s="38"/>
      <c r="M26" s="38"/>
      <c r="N26" s="38"/>
      <c r="O26" s="25"/>
    </row>
    <row r="27" spans="2:15" ht="18" customHeight="1">
      <c r="B27" s="53" t="s">
        <v>76</v>
      </c>
      <c r="C27" s="229" t="s">
        <v>65</v>
      </c>
      <c r="D27" s="229"/>
      <c r="E27" s="229"/>
      <c r="F27" s="229"/>
      <c r="G27" s="229"/>
      <c r="H27" s="229"/>
      <c r="I27" s="229"/>
      <c r="J27" s="229"/>
      <c r="K27" s="229"/>
      <c r="L27" s="229"/>
      <c r="M27" s="229"/>
      <c r="N27" s="229"/>
      <c r="O27" s="54"/>
    </row>
    <row r="28" spans="2:15">
      <c r="B28" s="23"/>
      <c r="C28" s="24"/>
      <c r="D28" s="24"/>
      <c r="E28" s="24"/>
      <c r="F28" s="24"/>
      <c r="G28" s="24"/>
      <c r="H28" s="24"/>
      <c r="I28" s="24"/>
      <c r="J28" s="24"/>
      <c r="K28" s="24"/>
      <c r="L28" s="24"/>
      <c r="M28" s="24"/>
      <c r="N28" s="24"/>
      <c r="O28" s="25"/>
    </row>
    <row r="29" spans="2:15" ht="41.25" customHeight="1">
      <c r="B29" s="53" t="s">
        <v>77</v>
      </c>
      <c r="C29" s="242" t="s">
        <v>78</v>
      </c>
      <c r="D29" s="242"/>
      <c r="E29" s="242"/>
      <c r="F29" s="242"/>
      <c r="G29" s="242"/>
      <c r="H29" s="242"/>
      <c r="I29" s="242"/>
      <c r="J29" s="242"/>
      <c r="K29" s="242"/>
      <c r="L29" s="242"/>
      <c r="M29" s="242"/>
      <c r="N29" s="242"/>
      <c r="O29" s="54"/>
    </row>
    <row r="30" spans="2:15" ht="26.25" customHeight="1">
      <c r="B30" s="227" t="s">
        <v>169</v>
      </c>
      <c r="C30" s="229" t="s">
        <v>207</v>
      </c>
      <c r="D30" s="229"/>
      <c r="E30" s="229"/>
      <c r="F30" s="229"/>
      <c r="G30" s="229"/>
      <c r="H30" s="229"/>
      <c r="I30" s="229"/>
      <c r="J30" s="229"/>
      <c r="K30" s="229"/>
      <c r="L30" s="229"/>
      <c r="M30" s="229"/>
      <c r="N30" s="229"/>
      <c r="O30" s="54"/>
    </row>
    <row r="31" spans="2:15" ht="20.45" customHeight="1">
      <c r="B31" s="228"/>
      <c r="C31" s="241" t="s">
        <v>170</v>
      </c>
      <c r="D31" s="241"/>
      <c r="E31" s="241"/>
      <c r="F31" s="241"/>
      <c r="G31" s="241"/>
      <c r="H31" s="241"/>
      <c r="I31" s="241"/>
      <c r="J31" s="241"/>
      <c r="K31" s="241"/>
      <c r="L31" s="241"/>
      <c r="M31" s="241"/>
      <c r="N31" s="241"/>
      <c r="O31" s="25"/>
    </row>
    <row r="32" spans="2:15" ht="13.5" thickBot="1">
      <c r="B32" s="84"/>
      <c r="C32" s="27"/>
      <c r="D32" s="27"/>
      <c r="E32" s="27"/>
      <c r="F32" s="27"/>
      <c r="G32" s="27"/>
      <c r="H32" s="27"/>
      <c r="I32" s="27"/>
      <c r="J32" s="27"/>
      <c r="K32" s="27"/>
      <c r="L32" s="27"/>
      <c r="M32" s="27"/>
      <c r="N32" s="27"/>
      <c r="O32" s="28"/>
    </row>
    <row r="35" spans="3:3">
      <c r="C35" s="37"/>
    </row>
  </sheetData>
  <mergeCells count="18">
    <mergeCell ref="B30:B31"/>
    <mergeCell ref="C30:N30"/>
    <mergeCell ref="C31:N31"/>
    <mergeCell ref="C27:N27"/>
    <mergeCell ref="C29:N29"/>
    <mergeCell ref="D24:M24"/>
    <mergeCell ref="B13:B14"/>
    <mergeCell ref="C13:N13"/>
    <mergeCell ref="D25:M25"/>
    <mergeCell ref="G7:H7"/>
    <mergeCell ref="B15:B16"/>
    <mergeCell ref="B17:B26"/>
    <mergeCell ref="C15:N15"/>
    <mergeCell ref="D19:M19"/>
    <mergeCell ref="D20:M20"/>
    <mergeCell ref="D21:M21"/>
    <mergeCell ref="D22:M22"/>
    <mergeCell ref="D23:M23"/>
  </mergeCells>
  <hyperlinks>
    <hyperlink ref="C31:N31" r:id="rId1" display="https://www.oecd-ilibrary.org/fr/education/oecd-handbook-for-internationally-comparative-education-statistics-2018_9789264304444-en" xr:uid="{00000000-0004-0000-0000-000000000000}"/>
  </hyperlinks>
  <pageMargins left="0.70866141732283472" right="0.70866141732283472" top="0.74803149606299213" bottom="0.74803149606299213" header="0.31496062992125984" footer="0.31496062992125984"/>
  <pageSetup paperSize="9" scale="65" orientation="portrait" r:id="rId2"/>
  <headerFooter>
    <oddFooter>&amp;R&amp;A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G95"/>
  <sheetViews>
    <sheetView showGridLines="0" zoomScaleNormal="100" zoomScaleSheetLayoutView="100" workbookViewId="0"/>
  </sheetViews>
  <sheetFormatPr defaultRowHeight="12.75"/>
  <cols>
    <col min="1" max="1" width="31.42578125" customWidth="1"/>
    <col min="2" max="2" width="33" customWidth="1"/>
    <col min="6" max="6" width="9.85546875" customWidth="1"/>
  </cols>
  <sheetData>
    <row r="1" spans="1:7" ht="13.5" thickBot="1">
      <c r="A1" s="14"/>
      <c r="B1" s="14"/>
      <c r="C1" s="14"/>
      <c r="D1" s="14"/>
      <c r="E1" s="14"/>
      <c r="F1" s="14"/>
      <c r="G1" s="14"/>
    </row>
    <row r="2" spans="1:7" ht="13.5" thickBot="1">
      <c r="A2" s="15" t="s">
        <v>22</v>
      </c>
      <c r="B2" s="16" t="s">
        <v>24</v>
      </c>
      <c r="C2" s="14"/>
      <c r="D2" s="14"/>
      <c r="E2" s="14"/>
      <c r="F2" s="14"/>
      <c r="G2" s="14"/>
    </row>
    <row r="3" spans="1:7">
      <c r="A3" s="14"/>
      <c r="B3" s="14"/>
      <c r="C3" s="14"/>
      <c r="D3" s="14"/>
      <c r="E3" s="14"/>
      <c r="F3" s="14"/>
      <c r="G3" s="14"/>
    </row>
    <row r="4" spans="1:7" ht="39" customHeight="1">
      <c r="A4" s="243" t="s">
        <v>17</v>
      </c>
      <c r="B4" s="243"/>
      <c r="C4" s="243"/>
      <c r="D4" s="243"/>
      <c r="E4" s="243"/>
      <c r="F4" s="243"/>
      <c r="G4" s="8"/>
    </row>
    <row r="5" spans="1:7" ht="21">
      <c r="A5" s="251" t="s">
        <v>18</v>
      </c>
      <c r="B5" s="251"/>
      <c r="C5" s="251"/>
      <c r="D5" s="251"/>
      <c r="E5" s="251"/>
      <c r="F5" s="251"/>
      <c r="G5" s="8"/>
    </row>
    <row r="6" spans="1:7" ht="15" customHeight="1">
      <c r="A6" s="9" t="s">
        <v>29</v>
      </c>
      <c r="B6" s="244"/>
      <c r="C6" s="244"/>
      <c r="D6" s="244"/>
      <c r="E6" s="244"/>
      <c r="F6" s="244"/>
      <c r="G6" s="8"/>
    </row>
    <row r="7" spans="1:7" ht="15" customHeight="1">
      <c r="A7" s="9" t="s">
        <v>30</v>
      </c>
      <c r="B7" s="244"/>
      <c r="C7" s="244"/>
      <c r="D7" s="244"/>
      <c r="E7" s="244"/>
      <c r="F7" s="244"/>
      <c r="G7" s="8"/>
    </row>
    <row r="8" spans="1:7" ht="15" customHeight="1">
      <c r="A8" s="9" t="s">
        <v>55</v>
      </c>
      <c r="B8" s="246"/>
      <c r="C8" s="247"/>
      <c r="D8" s="247"/>
      <c r="E8" s="247"/>
      <c r="F8" s="248"/>
      <c r="G8" s="8"/>
    </row>
    <row r="9" spans="1:7" ht="15" customHeight="1">
      <c r="A9" s="9" t="s">
        <v>19</v>
      </c>
      <c r="B9" s="244"/>
      <c r="C9" s="244"/>
      <c r="D9" s="244"/>
      <c r="E9" s="244"/>
      <c r="F9" s="244"/>
      <c r="G9" s="8"/>
    </row>
    <row r="10" spans="1:7" ht="15" customHeight="1">
      <c r="A10" s="9" t="s">
        <v>56</v>
      </c>
      <c r="B10" s="244"/>
      <c r="C10" s="244"/>
      <c r="D10" s="244"/>
      <c r="E10" s="244"/>
      <c r="F10" s="244"/>
      <c r="G10" s="8"/>
    </row>
    <row r="11" spans="1:7" ht="15" customHeight="1">
      <c r="A11" s="9" t="s">
        <v>20</v>
      </c>
      <c r="B11" s="244"/>
      <c r="C11" s="244"/>
      <c r="D11" s="244"/>
      <c r="E11" s="244"/>
      <c r="F11" s="244"/>
      <c r="G11" s="8"/>
    </row>
    <row r="12" spans="1:7" ht="15" customHeight="1">
      <c r="A12" s="7"/>
      <c r="B12" s="7"/>
      <c r="C12" s="7"/>
      <c r="D12" s="7"/>
      <c r="E12" s="7"/>
      <c r="F12" s="7"/>
      <c r="G12" s="8"/>
    </row>
    <row r="13" spans="1:7" ht="21">
      <c r="A13" s="251" t="s">
        <v>21</v>
      </c>
      <c r="B13" s="251"/>
      <c r="C13" s="251"/>
      <c r="D13" s="251"/>
      <c r="E13" s="251"/>
      <c r="F13" s="251"/>
      <c r="G13" s="8"/>
    </row>
    <row r="14" spans="1:7" ht="15" customHeight="1">
      <c r="A14" s="9" t="s">
        <v>29</v>
      </c>
      <c r="B14" s="244"/>
      <c r="C14" s="244"/>
      <c r="D14" s="244"/>
      <c r="E14" s="244"/>
      <c r="F14" s="244"/>
      <c r="G14" s="8"/>
    </row>
    <row r="15" spans="1:7" ht="15" customHeight="1">
      <c r="A15" s="9" t="s">
        <v>30</v>
      </c>
      <c r="B15" s="244"/>
      <c r="C15" s="244"/>
      <c r="D15" s="244"/>
      <c r="E15" s="244"/>
      <c r="F15" s="244"/>
      <c r="G15" s="8"/>
    </row>
    <row r="16" spans="1:7" ht="15" customHeight="1">
      <c r="A16" s="9" t="s">
        <v>55</v>
      </c>
      <c r="B16" s="246"/>
      <c r="C16" s="247"/>
      <c r="D16" s="247"/>
      <c r="E16" s="247"/>
      <c r="F16" s="248"/>
      <c r="G16" s="8"/>
    </row>
    <row r="17" spans="1:7" ht="15" customHeight="1">
      <c r="A17" s="9" t="s">
        <v>19</v>
      </c>
      <c r="B17" s="244"/>
      <c r="C17" s="244"/>
      <c r="D17" s="244"/>
      <c r="E17" s="244"/>
      <c r="F17" s="244"/>
      <c r="G17" s="8"/>
    </row>
    <row r="18" spans="1:7" ht="15" customHeight="1">
      <c r="A18" s="9" t="s">
        <v>56</v>
      </c>
      <c r="B18" s="244"/>
      <c r="C18" s="244"/>
      <c r="D18" s="244"/>
      <c r="E18" s="244"/>
      <c r="F18" s="244"/>
      <c r="G18" s="8"/>
    </row>
    <row r="19" spans="1:7" ht="15" customHeight="1">
      <c r="A19" s="9" t="s">
        <v>20</v>
      </c>
      <c r="B19" s="244"/>
      <c r="C19" s="244"/>
      <c r="D19" s="244"/>
      <c r="E19" s="244"/>
      <c r="F19" s="244"/>
      <c r="G19" s="8"/>
    </row>
    <row r="20" spans="1:7" ht="15" customHeight="1">
      <c r="A20" s="7"/>
      <c r="B20" s="7"/>
      <c r="C20" s="7"/>
      <c r="D20" s="7"/>
      <c r="E20" s="7"/>
      <c r="F20" s="7"/>
      <c r="G20" s="8"/>
    </row>
    <row r="21" spans="1:7" ht="35.25" customHeight="1">
      <c r="A21" s="243" t="s">
        <v>23</v>
      </c>
      <c r="B21" s="243"/>
      <c r="C21" s="243"/>
      <c r="D21" s="243"/>
      <c r="E21" s="243"/>
      <c r="F21" s="243"/>
      <c r="G21" s="8"/>
    </row>
    <row r="22" spans="1:7" ht="15" customHeight="1">
      <c r="A22" s="9" t="s">
        <v>25</v>
      </c>
      <c r="B22" s="244"/>
      <c r="C22" s="244"/>
      <c r="D22" s="244"/>
      <c r="E22" s="244"/>
      <c r="F22" s="244"/>
      <c r="G22" s="8"/>
    </row>
    <row r="23" spans="1:7" ht="15" customHeight="1">
      <c r="A23" s="9" t="s">
        <v>26</v>
      </c>
      <c r="B23" s="246"/>
      <c r="C23" s="247"/>
      <c r="D23" s="247"/>
      <c r="E23" s="247"/>
      <c r="F23" s="248"/>
      <c r="G23" s="8"/>
    </row>
    <row r="24" spans="1:7" ht="15" customHeight="1">
      <c r="A24" s="7"/>
      <c r="B24" s="7"/>
      <c r="C24" s="7"/>
      <c r="D24" s="7"/>
      <c r="E24" s="7"/>
      <c r="F24" s="7"/>
      <c r="G24" s="8"/>
    </row>
    <row r="25" spans="1:7" ht="38.25" customHeight="1">
      <c r="A25" s="243" t="s">
        <v>66</v>
      </c>
      <c r="B25" s="243"/>
      <c r="C25" s="243"/>
      <c r="D25" s="243"/>
      <c r="E25" s="243"/>
      <c r="F25" s="243"/>
      <c r="G25" s="8"/>
    </row>
    <row r="26" spans="1:7" ht="15" customHeight="1">
      <c r="A26" s="9" t="s">
        <v>29</v>
      </c>
      <c r="B26" s="244"/>
      <c r="C26" s="244"/>
      <c r="D26" s="244"/>
      <c r="E26" s="244"/>
      <c r="F26" s="244"/>
      <c r="G26" s="13"/>
    </row>
    <row r="27" spans="1:7" ht="15" customHeight="1">
      <c r="A27" s="9" t="s">
        <v>30</v>
      </c>
      <c r="B27" s="244"/>
      <c r="C27" s="244"/>
      <c r="D27" s="244"/>
      <c r="E27" s="244"/>
      <c r="F27" s="244"/>
      <c r="G27" s="13"/>
    </row>
    <row r="28" spans="1:7" ht="15" customHeight="1">
      <c r="A28" s="9" t="s">
        <v>55</v>
      </c>
      <c r="B28" s="244"/>
      <c r="C28" s="244"/>
      <c r="D28" s="244"/>
      <c r="E28" s="244"/>
      <c r="F28" s="244"/>
      <c r="G28" s="13"/>
    </row>
    <row r="29" spans="1:7" ht="15" customHeight="1">
      <c r="A29" s="9" t="s">
        <v>56</v>
      </c>
      <c r="B29" s="245"/>
      <c r="C29" s="244"/>
      <c r="D29" s="244"/>
      <c r="E29" s="244"/>
      <c r="F29" s="244"/>
      <c r="G29" s="13"/>
    </row>
    <row r="30" spans="1:7" ht="15" customHeight="1">
      <c r="A30" s="9" t="s">
        <v>20</v>
      </c>
      <c r="B30" s="244"/>
      <c r="C30" s="244"/>
      <c r="D30" s="244"/>
      <c r="E30" s="244"/>
      <c r="F30" s="244"/>
      <c r="G30" s="13"/>
    </row>
    <row r="31" spans="1:7" ht="15">
      <c r="A31" s="17"/>
      <c r="B31" s="10"/>
      <c r="C31" s="10"/>
      <c r="D31" s="10"/>
      <c r="E31" s="11"/>
      <c r="F31" s="12"/>
      <c r="G31" s="13"/>
    </row>
    <row r="32" spans="1:7" ht="27" customHeight="1">
      <c r="A32" s="243" t="s">
        <v>194</v>
      </c>
      <c r="B32" s="243"/>
      <c r="C32" s="243"/>
      <c r="D32" s="243"/>
      <c r="E32" s="243"/>
      <c r="F32" s="243"/>
      <c r="G32" s="8"/>
    </row>
    <row r="33" spans="1:7" ht="15" customHeight="1">
      <c r="A33" s="141" t="s">
        <v>219</v>
      </c>
      <c r="B33" s="249" t="s">
        <v>220</v>
      </c>
      <c r="C33" s="249"/>
      <c r="D33" s="249"/>
      <c r="E33" s="249"/>
      <c r="F33" s="249"/>
      <c r="G33" s="13"/>
    </row>
    <row r="34" spans="1:7" ht="15" customHeight="1">
      <c r="A34" s="141" t="s">
        <v>56</v>
      </c>
      <c r="B34" s="250" t="s">
        <v>221</v>
      </c>
      <c r="C34" s="249"/>
      <c r="D34" s="249"/>
      <c r="E34" s="249"/>
      <c r="F34" s="249"/>
      <c r="G34" s="13"/>
    </row>
    <row r="35" spans="1:7" ht="14.25">
      <c r="A35" s="18"/>
      <c r="B35" s="10"/>
      <c r="C35" s="10"/>
      <c r="D35" s="10"/>
      <c r="E35" s="11"/>
      <c r="F35" s="12"/>
      <c r="G35" s="13"/>
    </row>
    <row r="46" spans="1:7" hidden="1">
      <c r="A46" s="59" t="s">
        <v>24</v>
      </c>
    </row>
    <row r="47" spans="1:7" hidden="1">
      <c r="A47" s="60" t="s">
        <v>99</v>
      </c>
    </row>
    <row r="48" spans="1:7" hidden="1">
      <c r="A48" s="60" t="s">
        <v>100</v>
      </c>
    </row>
    <row r="49" spans="1:1" hidden="1">
      <c r="A49" s="60" t="s">
        <v>101</v>
      </c>
    </row>
    <row r="50" spans="1:1" hidden="1">
      <c r="A50" s="60" t="s">
        <v>102</v>
      </c>
    </row>
    <row r="51" spans="1:1" hidden="1">
      <c r="A51" s="60" t="s">
        <v>103</v>
      </c>
    </row>
    <row r="52" spans="1:1" hidden="1">
      <c r="A52" s="60" t="s">
        <v>222</v>
      </c>
    </row>
    <row r="53" spans="1:1" hidden="1">
      <c r="A53" s="60" t="s">
        <v>104</v>
      </c>
    </row>
    <row r="54" spans="1:1" hidden="1">
      <c r="A54" s="60" t="s">
        <v>105</v>
      </c>
    </row>
    <row r="55" spans="1:1" hidden="1">
      <c r="A55" s="60" t="s">
        <v>106</v>
      </c>
    </row>
    <row r="56" spans="1:1" hidden="1">
      <c r="A56" s="60" t="s">
        <v>107</v>
      </c>
    </row>
    <row r="57" spans="1:1" hidden="1">
      <c r="A57" s="60" t="s">
        <v>108</v>
      </c>
    </row>
    <row r="58" spans="1:1" hidden="1">
      <c r="A58" s="60" t="s">
        <v>223</v>
      </c>
    </row>
    <row r="59" spans="1:1" hidden="1">
      <c r="A59" s="60" t="s">
        <v>109</v>
      </c>
    </row>
    <row r="60" spans="1:1" hidden="1">
      <c r="A60" s="60" t="s">
        <v>110</v>
      </c>
    </row>
    <row r="61" spans="1:1" hidden="1">
      <c r="A61" s="60" t="s">
        <v>111</v>
      </c>
    </row>
    <row r="62" spans="1:1" hidden="1">
      <c r="A62" s="60" t="s">
        <v>112</v>
      </c>
    </row>
    <row r="63" spans="1:1" hidden="1">
      <c r="A63" s="60" t="s">
        <v>113</v>
      </c>
    </row>
    <row r="64" spans="1:1" hidden="1">
      <c r="A64" s="60" t="s">
        <v>114</v>
      </c>
    </row>
    <row r="65" spans="1:1" hidden="1">
      <c r="A65" s="60" t="s">
        <v>115</v>
      </c>
    </row>
    <row r="66" spans="1:1" hidden="1">
      <c r="A66" s="60" t="s">
        <v>116</v>
      </c>
    </row>
    <row r="67" spans="1:1" hidden="1">
      <c r="A67" s="60" t="s">
        <v>117</v>
      </c>
    </row>
    <row r="68" spans="1:1" hidden="1">
      <c r="A68" s="60" t="s">
        <v>118</v>
      </c>
    </row>
    <row r="69" spans="1:1" hidden="1">
      <c r="A69" s="60" t="s">
        <v>119</v>
      </c>
    </row>
    <row r="70" spans="1:1" hidden="1">
      <c r="A70" s="60" t="s">
        <v>120</v>
      </c>
    </row>
    <row r="71" spans="1:1" hidden="1">
      <c r="A71" s="60" t="s">
        <v>121</v>
      </c>
    </row>
    <row r="72" spans="1:1" hidden="1">
      <c r="A72" s="60" t="s">
        <v>122</v>
      </c>
    </row>
    <row r="73" spans="1:1" hidden="1">
      <c r="A73" s="60" t="s">
        <v>123</v>
      </c>
    </row>
    <row r="74" spans="1:1" hidden="1">
      <c r="A74" s="60" t="s">
        <v>124</v>
      </c>
    </row>
    <row r="75" spans="1:1" hidden="1">
      <c r="A75" s="60" t="s">
        <v>125</v>
      </c>
    </row>
    <row r="76" spans="1:1" hidden="1">
      <c r="A76" s="60" t="s">
        <v>126</v>
      </c>
    </row>
    <row r="77" spans="1:1" hidden="1">
      <c r="A77" s="60" t="s">
        <v>127</v>
      </c>
    </row>
    <row r="78" spans="1:1" hidden="1">
      <c r="A78" s="60" t="s">
        <v>128</v>
      </c>
    </row>
    <row r="79" spans="1:1" hidden="1">
      <c r="A79" s="60" t="s">
        <v>129</v>
      </c>
    </row>
    <row r="80" spans="1:1" hidden="1">
      <c r="A80" s="60" t="s">
        <v>130</v>
      </c>
    </row>
    <row r="81" spans="1:1" hidden="1">
      <c r="A81" s="60" t="s">
        <v>131</v>
      </c>
    </row>
    <row r="82" spans="1:1" hidden="1">
      <c r="A82" s="60" t="s">
        <v>224</v>
      </c>
    </row>
    <row r="83" spans="1:1" hidden="1">
      <c r="A83" s="60" t="s">
        <v>132</v>
      </c>
    </row>
    <row r="84" spans="1:1" hidden="1">
      <c r="A84" s="60" t="s">
        <v>133</v>
      </c>
    </row>
    <row r="85" spans="1:1" hidden="1">
      <c r="A85" s="60" t="s">
        <v>225</v>
      </c>
    </row>
    <row r="86" spans="1:1" hidden="1">
      <c r="A86" s="60" t="s">
        <v>134</v>
      </c>
    </row>
    <row r="87" spans="1:1" hidden="1">
      <c r="A87" s="60" t="s">
        <v>135</v>
      </c>
    </row>
    <row r="88" spans="1:1" hidden="1">
      <c r="A88" s="60" t="s">
        <v>136</v>
      </c>
    </row>
    <row r="89" spans="1:1" hidden="1">
      <c r="A89" s="60" t="s">
        <v>137</v>
      </c>
    </row>
    <row r="90" spans="1:1" hidden="1">
      <c r="A90" s="60" t="s">
        <v>138</v>
      </c>
    </row>
    <row r="91" spans="1:1" hidden="1">
      <c r="A91" s="60" t="s">
        <v>139</v>
      </c>
    </row>
    <row r="92" spans="1:1" hidden="1">
      <c r="A92" s="60" t="s">
        <v>140</v>
      </c>
    </row>
    <row r="93" spans="1:1" hidden="1">
      <c r="A93" s="60" t="s">
        <v>217</v>
      </c>
    </row>
    <row r="94" spans="1:1" hidden="1">
      <c r="A94" s="60" t="s">
        <v>141</v>
      </c>
    </row>
    <row r="95" spans="1:1" hidden="1">
      <c r="A95" s="60" t="s">
        <v>142</v>
      </c>
    </row>
  </sheetData>
  <mergeCells count="27">
    <mergeCell ref="A32:F32"/>
    <mergeCell ref="B33:F33"/>
    <mergeCell ref="B34:F34"/>
    <mergeCell ref="B9:F9"/>
    <mergeCell ref="A4:F4"/>
    <mergeCell ref="A5:F5"/>
    <mergeCell ref="B6:F6"/>
    <mergeCell ref="B7:F7"/>
    <mergeCell ref="B8:F8"/>
    <mergeCell ref="B10:F10"/>
    <mergeCell ref="B11:F11"/>
    <mergeCell ref="A13:F13"/>
    <mergeCell ref="B14:F14"/>
    <mergeCell ref="B15:F15"/>
    <mergeCell ref="B22:F22"/>
    <mergeCell ref="B23:F23"/>
    <mergeCell ref="B16:F16"/>
    <mergeCell ref="B17:F17"/>
    <mergeCell ref="B18:F18"/>
    <mergeCell ref="B19:F19"/>
    <mergeCell ref="A21:F21"/>
    <mergeCell ref="A25:F25"/>
    <mergeCell ref="B26:F26"/>
    <mergeCell ref="B28:F28"/>
    <mergeCell ref="B29:F29"/>
    <mergeCell ref="B30:F30"/>
    <mergeCell ref="B27:F27"/>
  </mergeCells>
  <dataValidations count="3">
    <dataValidation type="textLength" allowBlank="1" showInputMessage="1" showErrorMessage="1" errorTitle="Invalid input" error="The length of the text should be between 2 and 500 characters" sqref="B6:F11 B14:F19 B22:F23 B26:F30 B33:F34" xr:uid="{00000000-0002-0000-0100-000000000000}">
      <formula1>2</formula1>
      <formula2>500</formula2>
    </dataValidation>
    <dataValidation type="list" allowBlank="1" showInputMessage="1" showErrorMessage="1" sqref="A13:F13" xr:uid="{00000000-0002-0000-0100-000001000000}">
      <formula1>$A$36:$A$37</formula1>
    </dataValidation>
    <dataValidation type="list" allowBlank="1" showInputMessage="1" showErrorMessage="1" sqref="B2" xr:uid="{00000000-0002-0000-0100-000002000000}">
      <formula1>$A$46:$A$95</formula1>
    </dataValidation>
  </dataValidations>
  <hyperlinks>
    <hyperlink ref="B34" r:id="rId1" xr:uid="{6F109E6E-4802-4938-8AE1-37F8CA6F706F}"/>
  </hyperlinks>
  <pageMargins left="0.70866141732283472" right="0.70866141732283472" top="0.74803149606299213" bottom="0.74803149606299213" header="0.31496062992125984" footer="0.31496062992125984"/>
  <pageSetup paperSize="9" scale="79" orientation="portrait" r:id="rId2"/>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pageSetUpPr fitToPage="1"/>
  </sheetPr>
  <dimension ref="A1:AW33"/>
  <sheetViews>
    <sheetView topLeftCell="B1" zoomScaleNormal="100" zoomScaleSheetLayoutView="100" workbookViewId="0"/>
  </sheetViews>
  <sheetFormatPr defaultColWidth="9.140625" defaultRowHeight="12.75"/>
  <cols>
    <col min="1" max="1" width="5.42578125" style="19" hidden="1" customWidth="1"/>
    <col min="2" max="2" width="104" style="19" customWidth="1"/>
    <col min="3" max="16384" width="9.140625" style="19"/>
  </cols>
  <sheetData>
    <row r="1" spans="2:49" ht="18">
      <c r="B1" s="103" t="s">
        <v>57</v>
      </c>
    </row>
    <row r="3" spans="2:49" s="58" customFormat="1" ht="30.6" customHeight="1">
      <c r="B3" s="104" t="s">
        <v>82</v>
      </c>
    </row>
    <row r="4" spans="2:49" ht="12.75" customHeight="1">
      <c r="B4" s="43"/>
      <c r="C4" s="58"/>
      <c r="D4" s="58"/>
      <c r="E4" s="58"/>
      <c r="F4" s="43"/>
      <c r="G4" s="43"/>
      <c r="H4" s="43"/>
      <c r="I4" s="43"/>
      <c r="J4" s="43"/>
      <c r="K4" s="43"/>
      <c r="L4" s="43"/>
      <c r="M4" s="43"/>
      <c r="N4" s="43"/>
      <c r="O4" s="43"/>
      <c r="P4" s="43"/>
      <c r="Q4" s="43"/>
    </row>
    <row r="5" spans="2:49">
      <c r="B5" s="105" t="s">
        <v>36</v>
      </c>
      <c r="C5" s="58"/>
      <c r="D5" s="58"/>
      <c r="E5" s="58"/>
    </row>
    <row r="6" spans="2:49">
      <c r="C6" s="58"/>
      <c r="D6" s="58"/>
      <c r="E6" s="58"/>
    </row>
    <row r="7" spans="2:49" s="58" customFormat="1" ht="45" customHeight="1">
      <c r="B7" s="104" t="s">
        <v>32</v>
      </c>
    </row>
    <row r="8" spans="2:49" ht="12.75" customHeight="1">
      <c r="B8" s="43"/>
      <c r="C8" s="58"/>
      <c r="D8" s="58"/>
      <c r="E8" s="58"/>
      <c r="F8" s="43"/>
      <c r="G8" s="43"/>
      <c r="H8" s="43"/>
      <c r="I8" s="43"/>
      <c r="J8" s="43"/>
      <c r="K8" s="43"/>
      <c r="L8" s="43"/>
      <c r="M8" s="43"/>
      <c r="N8" s="43"/>
      <c r="O8" s="43"/>
      <c r="P8" s="43"/>
      <c r="Q8" s="43"/>
    </row>
    <row r="9" spans="2:49" s="58" customFormat="1">
      <c r="B9" s="104" t="s">
        <v>44</v>
      </c>
    </row>
    <row r="11" spans="2:49" s="58" customFormat="1" ht="25.5">
      <c r="B11" s="104" t="s">
        <v>34</v>
      </c>
    </row>
    <row r="12" spans="2:49" s="24" customFormat="1">
      <c r="B12" s="43"/>
      <c r="C12" s="41"/>
      <c r="D12" s="41"/>
      <c r="E12" s="41"/>
      <c r="F12" s="41"/>
      <c r="G12" s="41"/>
      <c r="H12" s="41"/>
      <c r="I12" s="41"/>
      <c r="J12" s="41"/>
      <c r="K12" s="41"/>
      <c r="L12" s="41"/>
      <c r="M12" s="41"/>
      <c r="N12" s="41"/>
      <c r="O12" s="41"/>
      <c r="P12" s="41"/>
      <c r="Q12" s="41"/>
      <c r="R12" s="39"/>
      <c r="S12" s="39"/>
      <c r="T12" s="39"/>
      <c r="U12" s="39"/>
      <c r="V12" s="39"/>
      <c r="W12" s="39"/>
      <c r="X12" s="39"/>
      <c r="Y12" s="39"/>
      <c r="Z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2:49" s="58" customFormat="1" ht="57" customHeight="1">
      <c r="B13" s="106" t="s">
        <v>233</v>
      </c>
    </row>
    <row r="14" spans="2:49" s="24" customFormat="1" ht="12.75" customHeight="1">
      <c r="B14" s="42"/>
      <c r="C14" s="42"/>
      <c r="D14" s="42"/>
      <c r="E14" s="42"/>
      <c r="F14" s="42"/>
      <c r="G14" s="42"/>
      <c r="H14" s="42"/>
      <c r="I14" s="42"/>
      <c r="J14" s="42"/>
      <c r="K14" s="42"/>
      <c r="L14" s="42"/>
      <c r="M14" s="42"/>
      <c r="N14" s="42"/>
      <c r="O14" s="43"/>
      <c r="P14" s="43"/>
      <c r="Q14" s="43"/>
      <c r="R14" s="39"/>
      <c r="S14" s="39"/>
      <c r="T14" s="39"/>
      <c r="U14" s="39"/>
      <c r="V14" s="39"/>
      <c r="W14" s="39"/>
      <c r="X14" s="39"/>
      <c r="Y14" s="39"/>
      <c r="Z14" s="39"/>
      <c r="AB14" s="39"/>
      <c r="AC14" s="39"/>
      <c r="AD14" s="39"/>
      <c r="AE14" s="39"/>
      <c r="AF14" s="39"/>
      <c r="AG14" s="39"/>
      <c r="AH14" s="39"/>
      <c r="AI14" s="39"/>
      <c r="AJ14" s="39"/>
      <c r="AK14" s="39"/>
      <c r="AL14" s="39"/>
      <c r="AM14" s="39"/>
      <c r="AN14" s="39"/>
      <c r="AO14" s="39"/>
      <c r="AP14" s="39"/>
      <c r="AQ14" s="39"/>
      <c r="AR14" s="39"/>
      <c r="AS14" s="39"/>
      <c r="AT14" s="39"/>
      <c r="AU14" s="39"/>
      <c r="AV14" s="39"/>
      <c r="AW14" s="39"/>
    </row>
    <row r="15" spans="2:49" s="58" customFormat="1" ht="27.95" customHeight="1">
      <c r="B15" s="104" t="s">
        <v>210</v>
      </c>
    </row>
    <row r="16" spans="2:49" ht="12.75" customHeight="1"/>
    <row r="17" spans="2:2" s="58" customFormat="1" ht="54.6" customHeight="1">
      <c r="B17" s="104" t="s">
        <v>58</v>
      </c>
    </row>
    <row r="19" spans="2:2">
      <c r="B19" s="107" t="s">
        <v>81</v>
      </c>
    </row>
    <row r="20" spans="2:2">
      <c r="B20" s="108"/>
    </row>
    <row r="21" spans="2:2">
      <c r="B21" s="109" t="s">
        <v>159</v>
      </c>
    </row>
    <row r="23" spans="2:2" ht="40.5" customHeight="1">
      <c r="B23" s="105" t="s">
        <v>158</v>
      </c>
    </row>
    <row r="25" spans="2:2">
      <c r="B25" s="105" t="s">
        <v>35</v>
      </c>
    </row>
    <row r="27" spans="2:2" ht="63.75">
      <c r="B27" s="105" t="s">
        <v>33</v>
      </c>
    </row>
    <row r="29" spans="2:2" ht="25.5">
      <c r="B29" s="105" t="s">
        <v>67</v>
      </c>
    </row>
    <row r="31" spans="2:2" ht="25.5">
      <c r="B31" s="113" t="s">
        <v>69</v>
      </c>
    </row>
    <row r="33" spans="2:2" ht="25.5">
      <c r="B33" s="105" t="s">
        <v>45</v>
      </c>
    </row>
  </sheetData>
  <pageMargins left="0.70866141732283472" right="0.70866141732283472" top="0.74803149606299213" bottom="0.74803149606299213" header="0.31496062992125984" footer="0.31496062992125984"/>
  <pageSetup paperSize="9" scale="96" orientation="portrait" r:id="rId1"/>
  <headerFooter>
    <oddFooter>&amp;R&amp;A</oddFooter>
  </headerFooter>
  <colBreaks count="1" manualBreakCount="1">
    <brk id="2" max="34"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LW61"/>
  <sheetViews>
    <sheetView showGridLines="0" topLeftCell="B1" zoomScaleNormal="100" zoomScaleSheetLayoutView="100" workbookViewId="0"/>
  </sheetViews>
  <sheetFormatPr defaultColWidth="11.42578125" defaultRowHeight="15"/>
  <cols>
    <col min="1" max="1" width="0" style="2" hidden="1" customWidth="1"/>
    <col min="2" max="2" width="74" style="1" customWidth="1"/>
    <col min="3" max="3" width="39.42578125" style="6" customWidth="1"/>
    <col min="4" max="4" width="42.42578125" style="2" customWidth="1"/>
    <col min="5" max="5" width="10.42578125" hidden="1" customWidth="1"/>
    <col min="6" max="6" width="6.42578125" hidden="1" customWidth="1"/>
    <col min="7" max="7" width="29.42578125" hidden="1" customWidth="1"/>
    <col min="8" max="8" width="19.42578125" style="45" hidden="1" customWidth="1"/>
    <col min="9" max="253" width="11.42578125" style="2"/>
    <col min="254" max="254" width="23.42578125" style="2" customWidth="1"/>
    <col min="255" max="255" width="66.5703125" style="2" customWidth="1"/>
    <col min="256" max="256" width="28" style="2" customWidth="1"/>
    <col min="257" max="509" width="11.42578125" style="2"/>
    <col min="510" max="510" width="23.42578125" style="2" customWidth="1"/>
    <col min="511" max="511" width="66.5703125" style="2" customWidth="1"/>
    <col min="512" max="512" width="28" style="2" customWidth="1"/>
    <col min="513" max="765" width="11.42578125" style="2"/>
    <col min="766" max="766" width="23.42578125" style="2" customWidth="1"/>
    <col min="767" max="767" width="66.5703125" style="2" customWidth="1"/>
    <col min="768" max="768" width="28" style="2" customWidth="1"/>
    <col min="769" max="1021" width="11.42578125" style="2"/>
    <col min="1022" max="1022" width="23.42578125" style="2" customWidth="1"/>
    <col min="1023" max="1023" width="66.5703125" style="2" customWidth="1"/>
    <col min="1024" max="1024" width="28" style="2" customWidth="1"/>
    <col min="1025" max="1277" width="11.42578125" style="2"/>
    <col min="1278" max="1278" width="23.42578125" style="2" customWidth="1"/>
    <col min="1279" max="1279" width="66.5703125" style="2" customWidth="1"/>
    <col min="1280" max="1280" width="28" style="2" customWidth="1"/>
    <col min="1281" max="1533" width="11.42578125" style="2"/>
    <col min="1534" max="1534" width="23.42578125" style="2" customWidth="1"/>
    <col min="1535" max="1535" width="66.5703125" style="2" customWidth="1"/>
    <col min="1536" max="1536" width="28" style="2" customWidth="1"/>
    <col min="1537" max="1789" width="11.42578125" style="2"/>
    <col min="1790" max="1790" width="23.42578125" style="2" customWidth="1"/>
    <col min="1791" max="1791" width="66.5703125" style="2" customWidth="1"/>
    <col min="1792" max="1792" width="28" style="2" customWidth="1"/>
    <col min="1793" max="2045" width="11.42578125" style="2"/>
    <col min="2046" max="2046" width="23.42578125" style="2" customWidth="1"/>
    <col min="2047" max="2047" width="66.5703125" style="2" customWidth="1"/>
    <col min="2048" max="2048" width="28" style="2" customWidth="1"/>
    <col min="2049" max="2301" width="11.42578125" style="2"/>
    <col min="2302" max="2302" width="23.42578125" style="2" customWidth="1"/>
    <col min="2303" max="2303" width="66.5703125" style="2" customWidth="1"/>
    <col min="2304" max="2304" width="28" style="2" customWidth="1"/>
    <col min="2305" max="2557" width="11.42578125" style="2"/>
    <col min="2558" max="2558" width="23.42578125" style="2" customWidth="1"/>
    <col min="2559" max="2559" width="66.5703125" style="2" customWidth="1"/>
    <col min="2560" max="2560" width="28" style="2" customWidth="1"/>
    <col min="2561" max="2813" width="11.42578125" style="2"/>
    <col min="2814" max="2814" width="23.42578125" style="2" customWidth="1"/>
    <col min="2815" max="2815" width="66.5703125" style="2" customWidth="1"/>
    <col min="2816" max="2816" width="28" style="2" customWidth="1"/>
    <col min="2817" max="3069" width="11.42578125" style="2"/>
    <col min="3070" max="3070" width="23.42578125" style="2" customWidth="1"/>
    <col min="3071" max="3071" width="66.5703125" style="2" customWidth="1"/>
    <col min="3072" max="3072" width="28" style="2" customWidth="1"/>
    <col min="3073" max="3325" width="11.42578125" style="2"/>
    <col min="3326" max="3326" width="23.42578125" style="2" customWidth="1"/>
    <col min="3327" max="3327" width="66.5703125" style="2" customWidth="1"/>
    <col min="3328" max="3328" width="28" style="2" customWidth="1"/>
    <col min="3329" max="3581" width="11.42578125" style="2"/>
    <col min="3582" max="3582" width="23.42578125" style="2" customWidth="1"/>
    <col min="3583" max="3583" width="66.5703125" style="2" customWidth="1"/>
    <col min="3584" max="3584" width="28" style="2" customWidth="1"/>
    <col min="3585" max="3837" width="11.42578125" style="2"/>
    <col min="3838" max="3838" width="23.42578125" style="2" customWidth="1"/>
    <col min="3839" max="3839" width="66.5703125" style="2" customWidth="1"/>
    <col min="3840" max="3840" width="28" style="2" customWidth="1"/>
    <col min="3841" max="4093" width="11.42578125" style="2"/>
    <col min="4094" max="4094" width="23.42578125" style="2" customWidth="1"/>
    <col min="4095" max="4095" width="66.5703125" style="2" customWidth="1"/>
    <col min="4096" max="4096" width="28" style="2" customWidth="1"/>
    <col min="4097" max="4349" width="11.42578125" style="2"/>
    <col min="4350" max="4350" width="23.42578125" style="2" customWidth="1"/>
    <col min="4351" max="4351" width="66.5703125" style="2" customWidth="1"/>
    <col min="4352" max="4352" width="28" style="2" customWidth="1"/>
    <col min="4353" max="4605" width="11.42578125" style="2"/>
    <col min="4606" max="4606" width="23.42578125" style="2" customWidth="1"/>
    <col min="4607" max="4607" width="66.5703125" style="2" customWidth="1"/>
    <col min="4608" max="4608" width="28" style="2" customWidth="1"/>
    <col min="4609" max="4861" width="11.42578125" style="2"/>
    <col min="4862" max="4862" width="23.42578125" style="2" customWidth="1"/>
    <col min="4863" max="4863" width="66.5703125" style="2" customWidth="1"/>
    <col min="4864" max="4864" width="28" style="2" customWidth="1"/>
    <col min="4865" max="5117" width="11.42578125" style="2"/>
    <col min="5118" max="5118" width="23.42578125" style="2" customWidth="1"/>
    <col min="5119" max="5119" width="66.5703125" style="2" customWidth="1"/>
    <col min="5120" max="5120" width="28" style="2" customWidth="1"/>
    <col min="5121" max="5373" width="11.42578125" style="2"/>
    <col min="5374" max="5374" width="23.42578125" style="2" customWidth="1"/>
    <col min="5375" max="5375" width="66.5703125" style="2" customWidth="1"/>
    <col min="5376" max="5376" width="28" style="2" customWidth="1"/>
    <col min="5377" max="5629" width="11.42578125" style="2"/>
    <col min="5630" max="5630" width="23.42578125" style="2" customWidth="1"/>
    <col min="5631" max="5631" width="66.5703125" style="2" customWidth="1"/>
    <col min="5632" max="5632" width="28" style="2" customWidth="1"/>
    <col min="5633" max="5885" width="11.42578125" style="2"/>
    <col min="5886" max="5886" width="23.42578125" style="2" customWidth="1"/>
    <col min="5887" max="5887" width="66.5703125" style="2" customWidth="1"/>
    <col min="5888" max="5888" width="28" style="2" customWidth="1"/>
    <col min="5889" max="6141" width="11.42578125" style="2"/>
    <col min="6142" max="6142" width="23.42578125" style="2" customWidth="1"/>
    <col min="6143" max="6143" width="66.5703125" style="2" customWidth="1"/>
    <col min="6144" max="6144" width="28" style="2" customWidth="1"/>
    <col min="6145" max="6397" width="11.42578125" style="2"/>
    <col min="6398" max="6398" width="23.42578125" style="2" customWidth="1"/>
    <col min="6399" max="6399" width="66.5703125" style="2" customWidth="1"/>
    <col min="6400" max="6400" width="28" style="2" customWidth="1"/>
    <col min="6401" max="6653" width="11.42578125" style="2"/>
    <col min="6654" max="6654" width="23.42578125" style="2" customWidth="1"/>
    <col min="6655" max="6655" width="66.5703125" style="2" customWidth="1"/>
    <col min="6656" max="6656" width="28" style="2" customWidth="1"/>
    <col min="6657" max="6909" width="11.42578125" style="2"/>
    <col min="6910" max="6910" width="23.42578125" style="2" customWidth="1"/>
    <col min="6911" max="6911" width="66.5703125" style="2" customWidth="1"/>
    <col min="6912" max="6912" width="28" style="2" customWidth="1"/>
    <col min="6913" max="7165" width="11.42578125" style="2"/>
    <col min="7166" max="7166" width="23.42578125" style="2" customWidth="1"/>
    <col min="7167" max="7167" width="66.5703125" style="2" customWidth="1"/>
    <col min="7168" max="7168" width="28" style="2" customWidth="1"/>
    <col min="7169" max="7421" width="11.42578125" style="2"/>
    <col min="7422" max="7422" width="23.42578125" style="2" customWidth="1"/>
    <col min="7423" max="7423" width="66.5703125" style="2" customWidth="1"/>
    <col min="7424" max="7424" width="28" style="2" customWidth="1"/>
    <col min="7425" max="7677" width="11.42578125" style="2"/>
    <col min="7678" max="7678" width="23.42578125" style="2" customWidth="1"/>
    <col min="7679" max="7679" width="66.5703125" style="2" customWidth="1"/>
    <col min="7680" max="7680" width="28" style="2" customWidth="1"/>
    <col min="7681" max="7933" width="11.42578125" style="2"/>
    <col min="7934" max="7934" width="23.42578125" style="2" customWidth="1"/>
    <col min="7935" max="7935" width="66.5703125" style="2" customWidth="1"/>
    <col min="7936" max="7936" width="28" style="2" customWidth="1"/>
    <col min="7937" max="8189" width="11.42578125" style="2"/>
    <col min="8190" max="8190" width="23.42578125" style="2" customWidth="1"/>
    <col min="8191" max="8191" width="66.5703125" style="2" customWidth="1"/>
    <col min="8192" max="8192" width="28" style="2" customWidth="1"/>
    <col min="8193" max="8445" width="11.42578125" style="2"/>
    <col min="8446" max="8446" width="23.42578125" style="2" customWidth="1"/>
    <col min="8447" max="8447" width="66.5703125" style="2" customWidth="1"/>
    <col min="8448" max="8448" width="28" style="2" customWidth="1"/>
    <col min="8449" max="8701" width="11.42578125" style="2"/>
    <col min="8702" max="8702" width="23.42578125" style="2" customWidth="1"/>
    <col min="8703" max="8703" width="66.5703125" style="2" customWidth="1"/>
    <col min="8704" max="8704" width="28" style="2" customWidth="1"/>
    <col min="8705" max="8957" width="11.42578125" style="2"/>
    <col min="8958" max="8958" width="23.42578125" style="2" customWidth="1"/>
    <col min="8959" max="8959" width="66.5703125" style="2" customWidth="1"/>
    <col min="8960" max="8960" width="28" style="2" customWidth="1"/>
    <col min="8961" max="9213" width="11.42578125" style="2"/>
    <col min="9214" max="9214" width="23.42578125" style="2" customWidth="1"/>
    <col min="9215" max="9215" width="66.5703125" style="2" customWidth="1"/>
    <col min="9216" max="9216" width="28" style="2" customWidth="1"/>
    <col min="9217" max="9469" width="11.42578125" style="2"/>
    <col min="9470" max="9470" width="23.42578125" style="2" customWidth="1"/>
    <col min="9471" max="9471" width="66.5703125" style="2" customWidth="1"/>
    <col min="9472" max="9472" width="28" style="2" customWidth="1"/>
    <col min="9473" max="9725" width="11.42578125" style="2"/>
    <col min="9726" max="9726" width="23.42578125" style="2" customWidth="1"/>
    <col min="9727" max="9727" width="66.5703125" style="2" customWidth="1"/>
    <col min="9728" max="9728" width="28" style="2" customWidth="1"/>
    <col min="9729" max="9981" width="11.42578125" style="2"/>
    <col min="9982" max="9982" width="23.42578125" style="2" customWidth="1"/>
    <col min="9983" max="9983" width="66.5703125" style="2" customWidth="1"/>
    <col min="9984" max="9984" width="28" style="2" customWidth="1"/>
    <col min="9985" max="10237" width="11.42578125" style="2"/>
    <col min="10238" max="10238" width="23.42578125" style="2" customWidth="1"/>
    <col min="10239" max="10239" width="66.5703125" style="2" customWidth="1"/>
    <col min="10240" max="10240" width="28" style="2" customWidth="1"/>
    <col min="10241" max="10493" width="11.42578125" style="2"/>
    <col min="10494" max="10494" width="23.42578125" style="2" customWidth="1"/>
    <col min="10495" max="10495" width="66.5703125" style="2" customWidth="1"/>
    <col min="10496" max="10496" width="28" style="2" customWidth="1"/>
    <col min="10497" max="10749" width="11.42578125" style="2"/>
    <col min="10750" max="10750" width="23.42578125" style="2" customWidth="1"/>
    <col min="10751" max="10751" width="66.5703125" style="2" customWidth="1"/>
    <col min="10752" max="10752" width="28" style="2" customWidth="1"/>
    <col min="10753" max="11005" width="11.42578125" style="2"/>
    <col min="11006" max="11006" width="23.42578125" style="2" customWidth="1"/>
    <col min="11007" max="11007" width="66.5703125" style="2" customWidth="1"/>
    <col min="11008" max="11008" width="28" style="2" customWidth="1"/>
    <col min="11009" max="11261" width="11.42578125" style="2"/>
    <col min="11262" max="11262" width="23.42578125" style="2" customWidth="1"/>
    <col min="11263" max="11263" width="66.5703125" style="2" customWidth="1"/>
    <col min="11264" max="11264" width="28" style="2" customWidth="1"/>
    <col min="11265" max="11517" width="11.42578125" style="2"/>
    <col min="11518" max="11518" width="23.42578125" style="2" customWidth="1"/>
    <col min="11519" max="11519" width="66.5703125" style="2" customWidth="1"/>
    <col min="11520" max="11520" width="28" style="2" customWidth="1"/>
    <col min="11521" max="11773" width="11.42578125" style="2"/>
    <col min="11774" max="11774" width="23.42578125" style="2" customWidth="1"/>
    <col min="11775" max="11775" width="66.5703125" style="2" customWidth="1"/>
    <col min="11776" max="11776" width="28" style="2" customWidth="1"/>
    <col min="11777" max="12029" width="11.42578125" style="2"/>
    <col min="12030" max="12030" width="23.42578125" style="2" customWidth="1"/>
    <col min="12031" max="12031" width="66.5703125" style="2" customWidth="1"/>
    <col min="12032" max="12032" width="28" style="2" customWidth="1"/>
    <col min="12033" max="12285" width="11.42578125" style="2"/>
    <col min="12286" max="12286" width="23.42578125" style="2" customWidth="1"/>
    <col min="12287" max="12287" width="66.5703125" style="2" customWidth="1"/>
    <col min="12288" max="12288" width="28" style="2" customWidth="1"/>
    <col min="12289" max="12541" width="11.42578125" style="2"/>
    <col min="12542" max="12542" width="23.42578125" style="2" customWidth="1"/>
    <col min="12543" max="12543" width="66.5703125" style="2" customWidth="1"/>
    <col min="12544" max="12544" width="28" style="2" customWidth="1"/>
    <col min="12545" max="12797" width="11.42578125" style="2"/>
    <col min="12798" max="12798" width="23.42578125" style="2" customWidth="1"/>
    <col min="12799" max="12799" width="66.5703125" style="2" customWidth="1"/>
    <col min="12800" max="12800" width="28" style="2" customWidth="1"/>
    <col min="12801" max="13053" width="11.42578125" style="2"/>
    <col min="13054" max="13054" width="23.42578125" style="2" customWidth="1"/>
    <col min="13055" max="13055" width="66.5703125" style="2" customWidth="1"/>
    <col min="13056" max="13056" width="28" style="2" customWidth="1"/>
    <col min="13057" max="13309" width="11.42578125" style="2"/>
    <col min="13310" max="13310" width="23.42578125" style="2" customWidth="1"/>
    <col min="13311" max="13311" width="66.5703125" style="2" customWidth="1"/>
    <col min="13312" max="13312" width="28" style="2" customWidth="1"/>
    <col min="13313" max="13565" width="11.42578125" style="2"/>
    <col min="13566" max="13566" width="23.42578125" style="2" customWidth="1"/>
    <col min="13567" max="13567" width="66.5703125" style="2" customWidth="1"/>
    <col min="13568" max="13568" width="28" style="2" customWidth="1"/>
    <col min="13569" max="13821" width="11.42578125" style="2"/>
    <col min="13822" max="13822" width="23.42578125" style="2" customWidth="1"/>
    <col min="13823" max="13823" width="66.5703125" style="2" customWidth="1"/>
    <col min="13824" max="13824" width="28" style="2" customWidth="1"/>
    <col min="13825" max="14077" width="11.42578125" style="2"/>
    <col min="14078" max="14078" width="23.42578125" style="2" customWidth="1"/>
    <col min="14079" max="14079" width="66.5703125" style="2" customWidth="1"/>
    <col min="14080" max="14080" width="28" style="2" customWidth="1"/>
    <col min="14081" max="14333" width="11.42578125" style="2"/>
    <col min="14334" max="14334" width="23.42578125" style="2" customWidth="1"/>
    <col min="14335" max="14335" width="66.5703125" style="2" customWidth="1"/>
    <col min="14336" max="14336" width="28" style="2" customWidth="1"/>
    <col min="14337" max="14589" width="11.42578125" style="2"/>
    <col min="14590" max="14590" width="23.42578125" style="2" customWidth="1"/>
    <col min="14591" max="14591" width="66.5703125" style="2" customWidth="1"/>
    <col min="14592" max="14592" width="28" style="2" customWidth="1"/>
    <col min="14593" max="14845" width="11.42578125" style="2"/>
    <col min="14846" max="14846" width="23.42578125" style="2" customWidth="1"/>
    <col min="14847" max="14847" width="66.5703125" style="2" customWidth="1"/>
    <col min="14848" max="14848" width="28" style="2" customWidth="1"/>
    <col min="14849" max="15101" width="11.42578125" style="2"/>
    <col min="15102" max="15102" width="23.42578125" style="2" customWidth="1"/>
    <col min="15103" max="15103" width="66.5703125" style="2" customWidth="1"/>
    <col min="15104" max="15104" width="28" style="2" customWidth="1"/>
    <col min="15105" max="15357" width="11.42578125" style="2"/>
    <col min="15358" max="15358" width="23.42578125" style="2" customWidth="1"/>
    <col min="15359" max="15359" width="66.5703125" style="2" customWidth="1"/>
    <col min="15360" max="15360" width="28" style="2" customWidth="1"/>
    <col min="15361" max="15613" width="11.42578125" style="2"/>
    <col min="15614" max="15614" width="23.42578125" style="2" customWidth="1"/>
    <col min="15615" max="15615" width="66.5703125" style="2" customWidth="1"/>
    <col min="15616" max="15616" width="28" style="2" customWidth="1"/>
    <col min="15617" max="15869" width="11.42578125" style="2"/>
    <col min="15870" max="15870" width="23.42578125" style="2" customWidth="1"/>
    <col min="15871" max="15871" width="66.5703125" style="2" customWidth="1"/>
    <col min="15872" max="15872" width="28" style="2" customWidth="1"/>
    <col min="15873" max="16125" width="11.42578125" style="2"/>
    <col min="16126" max="16126" width="23.42578125" style="2" customWidth="1"/>
    <col min="16127" max="16127" width="66.5703125" style="2" customWidth="1"/>
    <col min="16128" max="16128" width="28" style="2" customWidth="1"/>
    <col min="16129" max="16384" width="11.42578125" style="2"/>
  </cols>
  <sheetData>
    <row r="1" spans="1:8" ht="18">
      <c r="B1" s="110" t="s">
        <v>208</v>
      </c>
    </row>
    <row r="2" spans="1:8">
      <c r="B2" s="143" t="s">
        <v>209</v>
      </c>
    </row>
    <row r="3" spans="1:8">
      <c r="B3" s="112" t="s">
        <v>80</v>
      </c>
      <c r="E3" s="75" t="s">
        <v>37</v>
      </c>
      <c r="F3" s="75" t="s">
        <v>38</v>
      </c>
      <c r="G3" s="75" t="s">
        <v>154</v>
      </c>
      <c r="H3" s="75" t="s">
        <v>155</v>
      </c>
    </row>
    <row r="4" spans="1:8">
      <c r="B4" s="111" t="s">
        <v>79</v>
      </c>
      <c r="E4" s="79" t="e">
        <f>#REF!</f>
        <v>#REF!</v>
      </c>
      <c r="F4" s="76" t="e">
        <f>#REF!</f>
        <v>#REF!</v>
      </c>
      <c r="G4" s="77" t="s">
        <v>83</v>
      </c>
      <c r="H4" s="77">
        <f t="shared" ref="H4:H26" si="0">VLOOKUP($G4,$A$8:$C$42,3,FALSE)</f>
        <v>0</v>
      </c>
    </row>
    <row r="5" spans="1:8">
      <c r="B5" s="3"/>
      <c r="C5" s="68"/>
      <c r="E5" s="79" t="e">
        <f>#REF!</f>
        <v>#REF!</v>
      </c>
      <c r="F5" s="76" t="e">
        <f>#REF!</f>
        <v>#REF!</v>
      </c>
      <c r="G5" s="77" t="s">
        <v>84</v>
      </c>
      <c r="H5" s="77">
        <f t="shared" si="0"/>
        <v>0</v>
      </c>
    </row>
    <row r="6" spans="1:8">
      <c r="B6" s="144" t="s">
        <v>59</v>
      </c>
      <c r="C6" s="69"/>
      <c r="E6" s="79" t="e">
        <f>#REF!</f>
        <v>#REF!</v>
      </c>
      <c r="F6" s="76" t="e">
        <f>#REF!</f>
        <v>#REF!</v>
      </c>
      <c r="G6" s="77" t="s">
        <v>85</v>
      </c>
      <c r="H6" s="77">
        <f t="shared" si="0"/>
        <v>0</v>
      </c>
    </row>
    <row r="7" spans="1:8">
      <c r="B7" s="144"/>
      <c r="C7" s="69"/>
      <c r="E7" s="79" t="e">
        <f>#REF!</f>
        <v>#REF!</v>
      </c>
      <c r="F7" s="76" t="e">
        <f>#REF!</f>
        <v>#REF!</v>
      </c>
      <c r="G7" s="77" t="s">
        <v>38</v>
      </c>
      <c r="H7" s="77">
        <f t="shared" si="0"/>
        <v>0</v>
      </c>
    </row>
    <row r="8" spans="1:8">
      <c r="A8" s="73" t="s">
        <v>83</v>
      </c>
      <c r="B8" s="145" t="s">
        <v>15</v>
      </c>
      <c r="C8" s="70"/>
      <c r="E8" s="79" t="e">
        <f>#REF!</f>
        <v>#REF!</v>
      </c>
      <c r="F8" s="76" t="e">
        <f>#REF!</f>
        <v>#REF!</v>
      </c>
      <c r="G8" s="77" t="s">
        <v>144</v>
      </c>
      <c r="H8" s="77">
        <f t="shared" si="0"/>
        <v>0</v>
      </c>
    </row>
    <row r="9" spans="1:8">
      <c r="A9" s="73" t="s">
        <v>84</v>
      </c>
      <c r="B9" s="145" t="s">
        <v>60</v>
      </c>
      <c r="C9" s="70"/>
      <c r="E9" s="79" t="e">
        <f>#REF!</f>
        <v>#REF!</v>
      </c>
      <c r="F9" s="76" t="e">
        <f>#REF!</f>
        <v>#REF!</v>
      </c>
      <c r="G9" s="77" t="s">
        <v>86</v>
      </c>
      <c r="H9" s="77">
        <f t="shared" si="0"/>
        <v>0</v>
      </c>
    </row>
    <row r="10" spans="1:8">
      <c r="A10" s="73" t="s">
        <v>85</v>
      </c>
      <c r="B10" s="145" t="s">
        <v>61</v>
      </c>
      <c r="C10" s="70"/>
      <c r="E10" s="79" t="e">
        <f>#REF!</f>
        <v>#REF!</v>
      </c>
      <c r="F10" s="76" t="e">
        <f>#REF!</f>
        <v>#REF!</v>
      </c>
      <c r="G10" s="77" t="s">
        <v>145</v>
      </c>
      <c r="H10" s="77">
        <f t="shared" si="0"/>
        <v>0</v>
      </c>
    </row>
    <row r="11" spans="1:8">
      <c r="A11" s="73"/>
      <c r="B11" s="146"/>
      <c r="C11" s="4"/>
      <c r="E11" s="79" t="e">
        <f>#REF!</f>
        <v>#REF!</v>
      </c>
      <c r="F11" s="76" t="e">
        <f>#REF!</f>
        <v>#REF!</v>
      </c>
      <c r="G11" s="77" t="s">
        <v>153</v>
      </c>
      <c r="H11" s="77">
        <f t="shared" si="0"/>
        <v>0</v>
      </c>
    </row>
    <row r="12" spans="1:8">
      <c r="A12" s="73" t="s">
        <v>38</v>
      </c>
      <c r="B12" s="145" t="s">
        <v>143</v>
      </c>
      <c r="C12" s="57"/>
      <c r="E12" s="79" t="e">
        <f>#REF!</f>
        <v>#REF!</v>
      </c>
      <c r="F12" s="76" t="e">
        <f>#REF!</f>
        <v>#REF!</v>
      </c>
      <c r="G12" s="77" t="s">
        <v>87</v>
      </c>
      <c r="H12" s="77">
        <f t="shared" si="0"/>
        <v>0</v>
      </c>
    </row>
    <row r="13" spans="1:8" ht="38.25">
      <c r="A13" s="73" t="s">
        <v>144</v>
      </c>
      <c r="B13" s="147" t="s">
        <v>152</v>
      </c>
      <c r="C13" s="61"/>
      <c r="E13" s="79" t="e">
        <f>#REF!</f>
        <v>#REF!</v>
      </c>
      <c r="F13" s="76" t="e">
        <f>#REF!</f>
        <v>#REF!</v>
      </c>
      <c r="G13" s="77" t="s">
        <v>156</v>
      </c>
      <c r="H13" s="77">
        <f t="shared" si="0"/>
        <v>0</v>
      </c>
    </row>
    <row r="14" spans="1:8">
      <c r="A14" s="73"/>
      <c r="B14" s="146"/>
      <c r="C14" s="4"/>
      <c r="E14" s="79" t="e">
        <f>#REF!</f>
        <v>#REF!</v>
      </c>
      <c r="F14" s="76" t="e">
        <f>#REF!</f>
        <v>#REF!</v>
      </c>
      <c r="G14" s="77" t="s">
        <v>88</v>
      </c>
      <c r="H14" s="77">
        <f t="shared" si="0"/>
        <v>0</v>
      </c>
    </row>
    <row r="15" spans="1:8" ht="39">
      <c r="A15" s="73" t="s">
        <v>86</v>
      </c>
      <c r="B15" s="145" t="s">
        <v>62</v>
      </c>
      <c r="C15" s="70"/>
      <c r="E15" s="79" t="e">
        <f>#REF!</f>
        <v>#REF!</v>
      </c>
      <c r="F15" s="76" t="e">
        <f>#REF!</f>
        <v>#REF!</v>
      </c>
      <c r="G15" s="77" t="s">
        <v>89</v>
      </c>
      <c r="H15" s="77">
        <f t="shared" si="0"/>
        <v>0</v>
      </c>
    </row>
    <row r="16" spans="1:8" ht="26.25">
      <c r="A16" s="73" t="s">
        <v>145</v>
      </c>
      <c r="B16" s="145" t="s">
        <v>146</v>
      </c>
      <c r="C16" s="57"/>
      <c r="E16" s="79" t="e">
        <f>#REF!</f>
        <v>#REF!</v>
      </c>
      <c r="F16" s="76" t="e">
        <f>#REF!</f>
        <v>#REF!</v>
      </c>
      <c r="G16" s="77" t="s">
        <v>90</v>
      </c>
      <c r="H16" s="77">
        <f t="shared" si="0"/>
        <v>0</v>
      </c>
    </row>
    <row r="17" spans="1:333" ht="26.25">
      <c r="A17" s="73" t="s">
        <v>153</v>
      </c>
      <c r="B17" s="145" t="s">
        <v>16</v>
      </c>
      <c r="C17" s="71"/>
      <c r="E17" s="79" t="e">
        <f>#REF!</f>
        <v>#REF!</v>
      </c>
      <c r="F17" s="76" t="e">
        <f>#REF!</f>
        <v>#REF!</v>
      </c>
      <c r="G17" s="77" t="s">
        <v>91</v>
      </c>
      <c r="H17" s="77">
        <f t="shared" si="0"/>
        <v>0</v>
      </c>
    </row>
    <row r="18" spans="1:333">
      <c r="A18" s="73"/>
      <c r="B18" s="146"/>
      <c r="C18" s="4"/>
      <c r="E18" s="79" t="e">
        <f>#REF!</f>
        <v>#REF!</v>
      </c>
      <c r="F18" s="76" t="e">
        <f>#REF!</f>
        <v>#REF!</v>
      </c>
      <c r="G18" s="77" t="s">
        <v>92</v>
      </c>
      <c r="H18" s="77">
        <f t="shared" si="0"/>
        <v>0</v>
      </c>
    </row>
    <row r="19" spans="1:333">
      <c r="A19" s="73" t="s">
        <v>87</v>
      </c>
      <c r="B19" s="145" t="s">
        <v>98</v>
      </c>
      <c r="C19" s="57"/>
      <c r="E19" s="79" t="e">
        <f>#REF!</f>
        <v>#REF!</v>
      </c>
      <c r="F19" s="76" t="e">
        <f>#REF!</f>
        <v>#REF!</v>
      </c>
      <c r="G19" s="77" t="s">
        <v>93</v>
      </c>
      <c r="H19" s="77">
        <f t="shared" si="0"/>
        <v>0</v>
      </c>
    </row>
    <row r="20" spans="1:333">
      <c r="A20" s="74" t="s">
        <v>156</v>
      </c>
      <c r="B20" s="148" t="s">
        <v>157</v>
      </c>
      <c r="C20" s="80"/>
      <c r="E20" s="79" t="e">
        <f>#REF!</f>
        <v>#REF!</v>
      </c>
      <c r="F20" s="76" t="e">
        <f>#REF!</f>
        <v>#REF!</v>
      </c>
      <c r="G20" s="77" t="s">
        <v>94</v>
      </c>
      <c r="H20" s="77">
        <f t="shared" si="0"/>
        <v>0</v>
      </c>
    </row>
    <row r="21" spans="1:333" s="5" customFormat="1">
      <c r="A21" s="73"/>
      <c r="B21" s="146"/>
      <c r="C21" s="4"/>
      <c r="E21" s="79" t="e">
        <f>#REF!</f>
        <v>#REF!</v>
      </c>
      <c r="F21" s="76" t="e">
        <f>#REF!</f>
        <v>#REF!</v>
      </c>
      <c r="G21" s="77" t="s">
        <v>95</v>
      </c>
      <c r="H21" s="77">
        <f t="shared" si="0"/>
        <v>0</v>
      </c>
    </row>
    <row r="22" spans="1:333" ht="51">
      <c r="A22" s="73"/>
      <c r="B22" s="149" t="s">
        <v>47</v>
      </c>
      <c r="C22" s="70"/>
      <c r="E22" s="79" t="e">
        <f>#REF!</f>
        <v>#REF!</v>
      </c>
      <c r="F22" s="76" t="e">
        <f>#REF!</f>
        <v>#REF!</v>
      </c>
      <c r="G22" s="77" t="s">
        <v>96</v>
      </c>
      <c r="H22" s="77">
        <f t="shared" si="0"/>
        <v>0</v>
      </c>
    </row>
    <row r="23" spans="1:333" s="44" customFormat="1" ht="25.5">
      <c r="A23" s="73" t="s">
        <v>88</v>
      </c>
      <c r="B23" s="149" t="s">
        <v>70</v>
      </c>
      <c r="C23" s="70"/>
      <c r="E23" s="79" t="e">
        <f>#REF!</f>
        <v>#REF!</v>
      </c>
      <c r="F23" s="76" t="e">
        <f>#REF!</f>
        <v>#REF!</v>
      </c>
      <c r="G23" s="77" t="s">
        <v>97</v>
      </c>
      <c r="H23" s="77">
        <f t="shared" si="0"/>
        <v>0</v>
      </c>
      <c r="LU23"/>
    </row>
    <row r="24" spans="1:333" s="44" customFormat="1" ht="38.25">
      <c r="A24" s="73" t="s">
        <v>89</v>
      </c>
      <c r="B24" s="149" t="s">
        <v>71</v>
      </c>
      <c r="C24" s="70"/>
      <c r="E24" s="79" t="e">
        <f>#REF!</f>
        <v>#REF!</v>
      </c>
      <c r="F24" s="76" t="e">
        <f>#REF!</f>
        <v>#REF!</v>
      </c>
      <c r="G24" s="77" t="s">
        <v>150</v>
      </c>
      <c r="H24" s="77">
        <f t="shared" si="0"/>
        <v>0</v>
      </c>
      <c r="LU24"/>
    </row>
    <row r="25" spans="1:333" s="44" customFormat="1">
      <c r="A25" s="73" t="s">
        <v>90</v>
      </c>
      <c r="B25" s="149" t="s">
        <v>72</v>
      </c>
      <c r="C25" s="70"/>
      <c r="E25" s="79" t="e">
        <f>#REF!</f>
        <v>#REF!</v>
      </c>
      <c r="F25" s="76" t="e">
        <f>#REF!</f>
        <v>#REF!</v>
      </c>
      <c r="G25" s="77" t="s">
        <v>151</v>
      </c>
      <c r="H25" s="77">
        <f t="shared" si="0"/>
        <v>0</v>
      </c>
      <c r="LU25"/>
    </row>
    <row r="26" spans="1:333" s="44" customFormat="1" ht="25.5">
      <c r="A26" s="73" t="s">
        <v>91</v>
      </c>
      <c r="B26" s="149" t="s">
        <v>212</v>
      </c>
      <c r="C26" s="70"/>
      <c r="E26" s="79" t="e">
        <f>#REF!</f>
        <v>#REF!</v>
      </c>
      <c r="F26" s="76" t="e">
        <f>#REF!</f>
        <v>#REF!</v>
      </c>
      <c r="G26" s="77" t="s">
        <v>149</v>
      </c>
      <c r="H26" s="77">
        <f t="shared" si="0"/>
        <v>0</v>
      </c>
      <c r="LU26"/>
    </row>
    <row r="27" spans="1:333" s="44" customFormat="1">
      <c r="A27" s="73" t="s">
        <v>92</v>
      </c>
      <c r="B27" s="149" t="s">
        <v>73</v>
      </c>
      <c r="C27" s="70"/>
      <c r="E27"/>
      <c r="F27"/>
      <c r="G27" s="66"/>
      <c r="H27" s="45"/>
      <c r="LU27"/>
    </row>
    <row r="28" spans="1:333" s="44" customFormat="1">
      <c r="A28" s="73"/>
      <c r="B28" s="146"/>
      <c r="C28" s="4"/>
      <c r="E28" s="2"/>
      <c r="F28" s="2"/>
      <c r="H28" s="2"/>
      <c r="LU28"/>
    </row>
    <row r="29" spans="1:333">
      <c r="A29" s="73" t="s">
        <v>93</v>
      </c>
      <c r="B29" s="150" t="s">
        <v>147</v>
      </c>
      <c r="C29" s="65"/>
      <c r="E29" s="44"/>
      <c r="F29" s="44"/>
      <c r="G29" s="44"/>
    </row>
    <row r="30" spans="1:333" ht="15.75">
      <c r="A30" s="73" t="s">
        <v>94</v>
      </c>
      <c r="B30" s="150" t="s">
        <v>148</v>
      </c>
      <c r="C30" s="65"/>
      <c r="E30" s="44"/>
      <c r="F30" s="44"/>
      <c r="G30" s="44"/>
      <c r="H30" s="63"/>
    </row>
    <row r="31" spans="1:333" s="66" customFormat="1">
      <c r="A31" s="73"/>
      <c r="B31" s="146"/>
      <c r="C31" s="4"/>
      <c r="E31" s="44"/>
      <c r="F31" s="44"/>
      <c r="G31" s="44"/>
      <c r="H31" s="45"/>
      <c r="I31" s="67"/>
      <c r="J31" s="67"/>
    </row>
    <row r="32" spans="1:333">
      <c r="A32" s="73" t="s">
        <v>95</v>
      </c>
      <c r="B32" s="151" t="s">
        <v>31</v>
      </c>
      <c r="C32" s="70"/>
      <c r="E32" s="44"/>
      <c r="F32" s="44"/>
      <c r="G32" s="44"/>
    </row>
    <row r="33" spans="1:335" ht="15.75">
      <c r="A33" s="73" t="s">
        <v>96</v>
      </c>
      <c r="B33" s="151" t="s">
        <v>63</v>
      </c>
      <c r="C33" s="70"/>
      <c r="E33" s="44"/>
      <c r="F33" s="44"/>
      <c r="G33" s="44"/>
      <c r="H33" s="63"/>
    </row>
    <row r="34" spans="1:335">
      <c r="A34" s="73" t="s">
        <v>97</v>
      </c>
      <c r="B34" s="151" t="s">
        <v>64</v>
      </c>
      <c r="C34" s="70"/>
      <c r="E34" s="2"/>
      <c r="F34" s="2"/>
      <c r="G34" s="44"/>
      <c r="H34" s="2"/>
    </row>
    <row r="35" spans="1:335">
      <c r="A35" s="73"/>
      <c r="B35" s="146"/>
      <c r="C35" s="62"/>
      <c r="E35" s="66"/>
      <c r="F35" s="66"/>
      <c r="G35" s="44"/>
      <c r="H35" s="67"/>
    </row>
    <row r="36" spans="1:335" s="44" customFormat="1" ht="25.5">
      <c r="A36" s="73" t="s">
        <v>150</v>
      </c>
      <c r="B36" s="152" t="s">
        <v>68</v>
      </c>
      <c r="C36" s="70"/>
      <c r="D36" s="63"/>
      <c r="E36" s="66"/>
      <c r="F36" s="66"/>
      <c r="H36" s="67"/>
      <c r="I36" s="63"/>
      <c r="J36" s="64"/>
      <c r="LW36"/>
    </row>
    <row r="37" spans="1:335" ht="25.5">
      <c r="A37" s="73" t="s">
        <v>151</v>
      </c>
      <c r="B37" s="152" t="s">
        <v>43</v>
      </c>
      <c r="C37" s="70"/>
      <c r="E37" s="66"/>
      <c r="F37" s="66"/>
      <c r="G37" s="44"/>
      <c r="H37" s="67"/>
    </row>
    <row r="38" spans="1:335">
      <c r="A38" s="73"/>
      <c r="B38" s="146"/>
      <c r="C38" s="4"/>
      <c r="E38" s="44"/>
      <c r="F38" s="44"/>
      <c r="G38" s="78"/>
    </row>
    <row r="39" spans="1:335">
      <c r="A39" s="73" t="s">
        <v>149</v>
      </c>
      <c r="B39" s="145" t="s">
        <v>46</v>
      </c>
      <c r="C39" s="70"/>
      <c r="E39" s="44"/>
      <c r="F39" s="44"/>
      <c r="G39" s="78"/>
    </row>
    <row r="40" spans="1:335">
      <c r="B40" s="143"/>
      <c r="E40" s="44"/>
      <c r="F40" s="44"/>
    </row>
    <row r="41" spans="1:335">
      <c r="B41" s="143"/>
      <c r="E41" s="44"/>
      <c r="F41" s="44"/>
    </row>
    <row r="42" spans="1:335" ht="16.5" customHeight="1">
      <c r="B42" s="143"/>
      <c r="E42" s="44"/>
      <c r="F42" s="44"/>
    </row>
    <row r="43" spans="1:335">
      <c r="B43" s="143"/>
      <c r="E43" s="44"/>
      <c r="F43" s="44"/>
    </row>
    <row r="44" spans="1:335">
      <c r="B44" s="143"/>
      <c r="E44" s="44"/>
      <c r="F44" s="44"/>
    </row>
    <row r="45" spans="1:335">
      <c r="E45" s="44"/>
      <c r="F45" s="44"/>
    </row>
    <row r="47" spans="1:335" ht="32.25" customHeight="1"/>
    <row r="48" spans="1:335" ht="47.25" customHeight="1"/>
    <row r="51" ht="32.25" customHeight="1"/>
    <row r="56" ht="45" customHeight="1"/>
    <row r="57" ht="87" customHeight="1"/>
    <row r="60" ht="15.75" customHeight="1"/>
    <row r="61" ht="15.75" customHeight="1"/>
  </sheetData>
  <pageMargins left="0.70866141732283472" right="0.70866141732283472" top="0.74803149606299213" bottom="0.74803149606299213" header="0.31496062992125984" footer="0.31496062992125984"/>
  <pageSetup paperSize="9" scale="77" orientation="portrait" r:id="rId1"/>
  <headerFooter>
    <oddFooter>&amp;R&amp;A</oddFooter>
  </headerFooter>
  <rowBreaks count="1" manualBreakCount="1">
    <brk id="58" min="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75" r:id="rId4" name="Group Box 27">
              <controlPr defaultSize="0" autoFill="0" autoPict="0" altText="">
                <anchor moveWithCells="1">
                  <from>
                    <xdr:col>4</xdr:col>
                    <xdr:colOff>0</xdr:colOff>
                    <xdr:row>25</xdr:row>
                    <xdr:rowOff>0</xdr:rowOff>
                  </from>
                  <to>
                    <xdr:col>12</xdr:col>
                    <xdr:colOff>0</xdr:colOff>
                    <xdr:row>38</xdr:row>
                    <xdr:rowOff>9525</xdr:rowOff>
                  </to>
                </anchor>
              </controlPr>
            </control>
          </mc:Choice>
        </mc:AlternateContent>
        <mc:AlternateContent xmlns:mc="http://schemas.openxmlformats.org/markup-compatibility/2006">
          <mc:Choice Requires="x14">
            <control shapeId="2088" r:id="rId5" name="Group Box 40">
              <controlPr defaultSize="0" autoFill="0" autoPict="0" altText="">
                <anchor moveWithCells="1">
                  <from>
                    <xdr:col>4</xdr:col>
                    <xdr:colOff>0</xdr:colOff>
                    <xdr:row>25</xdr:row>
                    <xdr:rowOff>0</xdr:rowOff>
                  </from>
                  <to>
                    <xdr:col>12</xdr:col>
                    <xdr:colOff>0</xdr:colOff>
                    <xdr:row>38</xdr:row>
                    <xdr:rowOff>9525</xdr:rowOff>
                  </to>
                </anchor>
              </controlPr>
            </control>
          </mc:Choice>
        </mc:AlternateContent>
        <mc:AlternateContent xmlns:mc="http://schemas.openxmlformats.org/markup-compatibility/2006">
          <mc:Choice Requires="x14">
            <control shapeId="2073" r:id="rId6" name="Group Box 25">
              <controlPr defaultSize="0" autoFill="0" autoPict="0">
                <anchor moveWithCells="1">
                  <from>
                    <xdr:col>3</xdr:col>
                    <xdr:colOff>0</xdr:colOff>
                    <xdr:row>24</xdr:row>
                    <xdr:rowOff>0</xdr:rowOff>
                  </from>
                  <to>
                    <xdr:col>3</xdr:col>
                    <xdr:colOff>762000</xdr:colOff>
                    <xdr:row>25</xdr:row>
                    <xdr:rowOff>9525</xdr:rowOff>
                  </to>
                </anchor>
              </controlPr>
            </control>
          </mc:Choice>
        </mc:AlternateContent>
        <mc:AlternateContent xmlns:mc="http://schemas.openxmlformats.org/markup-compatibility/2006">
          <mc:Choice Requires="x14">
            <control shapeId="2074" r:id="rId7" name="Group Box 26">
              <controlPr defaultSize="0" autoFill="0" autoPict="0">
                <anchor moveWithCells="1">
                  <from>
                    <xdr:col>3</xdr:col>
                    <xdr:colOff>9525</xdr:colOff>
                    <xdr:row>24</xdr:row>
                    <xdr:rowOff>0</xdr:rowOff>
                  </from>
                  <to>
                    <xdr:col>3</xdr:col>
                    <xdr:colOff>762000</xdr:colOff>
                    <xdr:row>27</xdr:row>
                    <xdr:rowOff>38100</xdr:rowOff>
                  </to>
                </anchor>
              </controlPr>
            </control>
          </mc:Choice>
        </mc:AlternateContent>
        <mc:AlternateContent xmlns:mc="http://schemas.openxmlformats.org/markup-compatibility/2006">
          <mc:Choice Requires="x14">
            <control shapeId="2076" r:id="rId8" name="Group Box 28">
              <controlPr defaultSize="0" autoFill="0" autoPict="0">
                <anchor moveWithCells="1">
                  <from>
                    <xdr:col>3</xdr:col>
                    <xdr:colOff>180975</xdr:colOff>
                    <xdr:row>24</xdr:row>
                    <xdr:rowOff>0</xdr:rowOff>
                  </from>
                  <to>
                    <xdr:col>3</xdr:col>
                    <xdr:colOff>762000</xdr:colOff>
                    <xdr:row>25</xdr:row>
                    <xdr:rowOff>257175</xdr:rowOff>
                  </to>
                </anchor>
              </controlPr>
            </control>
          </mc:Choice>
        </mc:AlternateContent>
        <mc:AlternateContent xmlns:mc="http://schemas.openxmlformats.org/markup-compatibility/2006">
          <mc:Choice Requires="x14">
            <control shapeId="2077" r:id="rId9" name="Group Box 29">
              <controlPr defaultSize="0" autoFill="0" autoPict="0">
                <anchor moveWithCells="1">
                  <from>
                    <xdr:col>3</xdr:col>
                    <xdr:colOff>38100</xdr:colOff>
                    <xdr:row>24</xdr:row>
                    <xdr:rowOff>0</xdr:rowOff>
                  </from>
                  <to>
                    <xdr:col>3</xdr:col>
                    <xdr:colOff>762000</xdr:colOff>
                    <xdr:row>25</xdr:row>
                    <xdr:rowOff>66675</xdr:rowOff>
                  </to>
                </anchor>
              </controlPr>
            </control>
          </mc:Choice>
        </mc:AlternateContent>
        <mc:AlternateContent xmlns:mc="http://schemas.openxmlformats.org/markup-compatibility/2006">
          <mc:Choice Requires="x14">
            <control shapeId="2078" r:id="rId10" name="Group Box 30">
              <controlPr defaultSize="0" autoFill="0" autoPict="0">
                <anchor moveWithCells="1">
                  <from>
                    <xdr:col>3</xdr:col>
                    <xdr:colOff>28575</xdr:colOff>
                    <xdr:row>24</xdr:row>
                    <xdr:rowOff>0</xdr:rowOff>
                  </from>
                  <to>
                    <xdr:col>3</xdr:col>
                    <xdr:colOff>762000</xdr:colOff>
                    <xdr:row>25</xdr:row>
                    <xdr:rowOff>66675</xdr:rowOff>
                  </to>
                </anchor>
              </controlPr>
            </control>
          </mc:Choice>
        </mc:AlternateContent>
        <mc:AlternateContent xmlns:mc="http://schemas.openxmlformats.org/markup-compatibility/2006">
          <mc:Choice Requires="x14">
            <control shapeId="2079" r:id="rId11" name="Group Box 31">
              <controlPr defaultSize="0" autoFill="0" autoPict="0">
                <anchor moveWithCells="1">
                  <from>
                    <xdr:col>3</xdr:col>
                    <xdr:colOff>76200</xdr:colOff>
                    <xdr:row>24</xdr:row>
                    <xdr:rowOff>0</xdr:rowOff>
                  </from>
                  <to>
                    <xdr:col>3</xdr:col>
                    <xdr:colOff>762000</xdr:colOff>
                    <xdr:row>25</xdr:row>
                    <xdr:rowOff>47625</xdr:rowOff>
                  </to>
                </anchor>
              </controlPr>
            </control>
          </mc:Choice>
        </mc:AlternateContent>
        <mc:AlternateContent xmlns:mc="http://schemas.openxmlformats.org/markup-compatibility/2006">
          <mc:Choice Requires="x14">
            <control shapeId="2080" r:id="rId12" name="Group Box 32">
              <controlPr defaultSize="0" autoFill="0" autoPict="0">
                <anchor moveWithCells="1">
                  <from>
                    <xdr:col>3</xdr:col>
                    <xdr:colOff>9525</xdr:colOff>
                    <xdr:row>24</xdr:row>
                    <xdr:rowOff>0</xdr:rowOff>
                  </from>
                  <to>
                    <xdr:col>3</xdr:col>
                    <xdr:colOff>762000</xdr:colOff>
                    <xdr:row>26</xdr:row>
                    <xdr:rowOff>38100</xdr:rowOff>
                  </to>
                </anchor>
              </controlPr>
            </control>
          </mc:Choice>
        </mc:AlternateContent>
        <mc:AlternateContent xmlns:mc="http://schemas.openxmlformats.org/markup-compatibility/2006">
          <mc:Choice Requires="x14">
            <control shapeId="2081" r:id="rId13" name="Group Box 33">
              <controlPr defaultSize="0" autoFill="0" autoPict="0">
                <anchor moveWithCells="1">
                  <from>
                    <xdr:col>3</xdr:col>
                    <xdr:colOff>0</xdr:colOff>
                    <xdr:row>24</xdr:row>
                    <xdr:rowOff>0</xdr:rowOff>
                  </from>
                  <to>
                    <xdr:col>3</xdr:col>
                    <xdr:colOff>762000</xdr:colOff>
                    <xdr:row>25</xdr:row>
                    <xdr:rowOff>0</xdr:rowOff>
                  </to>
                </anchor>
              </controlPr>
            </control>
          </mc:Choice>
        </mc:AlternateContent>
        <mc:AlternateContent xmlns:mc="http://schemas.openxmlformats.org/markup-compatibility/2006">
          <mc:Choice Requires="x14">
            <control shapeId="2082" r:id="rId14" name="Group Box 34">
              <controlPr defaultSize="0" autoFill="0" autoPict="0">
                <anchor moveWithCells="1">
                  <from>
                    <xdr:col>3</xdr:col>
                    <xdr:colOff>0</xdr:colOff>
                    <xdr:row>24</xdr:row>
                    <xdr:rowOff>0</xdr:rowOff>
                  </from>
                  <to>
                    <xdr:col>3</xdr:col>
                    <xdr:colOff>762000</xdr:colOff>
                    <xdr:row>25</xdr:row>
                    <xdr:rowOff>0</xdr:rowOff>
                  </to>
                </anchor>
              </controlPr>
            </control>
          </mc:Choice>
        </mc:AlternateContent>
        <mc:AlternateContent xmlns:mc="http://schemas.openxmlformats.org/markup-compatibility/2006">
          <mc:Choice Requires="x14">
            <control shapeId="2083" r:id="rId15" name="Group Box 35">
              <controlPr defaultSize="0" autoFill="0" autoPict="0">
                <anchor moveWithCells="1">
                  <from>
                    <xdr:col>3</xdr:col>
                    <xdr:colOff>38100</xdr:colOff>
                    <xdr:row>24</xdr:row>
                    <xdr:rowOff>0</xdr:rowOff>
                  </from>
                  <to>
                    <xdr:col>3</xdr:col>
                    <xdr:colOff>762000</xdr:colOff>
                    <xdr:row>25</xdr:row>
                    <xdr:rowOff>66675</xdr:rowOff>
                  </to>
                </anchor>
              </controlPr>
            </control>
          </mc:Choice>
        </mc:AlternateContent>
        <mc:AlternateContent xmlns:mc="http://schemas.openxmlformats.org/markup-compatibility/2006">
          <mc:Choice Requires="x14">
            <control shapeId="2084" r:id="rId16" name="Group Box 36">
              <controlPr defaultSize="0" autoFill="0" autoPict="0">
                <anchor moveWithCells="1">
                  <from>
                    <xdr:col>3</xdr:col>
                    <xdr:colOff>28575</xdr:colOff>
                    <xdr:row>24</xdr:row>
                    <xdr:rowOff>0</xdr:rowOff>
                  </from>
                  <to>
                    <xdr:col>3</xdr:col>
                    <xdr:colOff>762000</xdr:colOff>
                    <xdr:row>25</xdr:row>
                    <xdr:rowOff>66675</xdr:rowOff>
                  </to>
                </anchor>
              </controlPr>
            </control>
          </mc:Choice>
        </mc:AlternateContent>
        <mc:AlternateContent xmlns:mc="http://schemas.openxmlformats.org/markup-compatibility/2006">
          <mc:Choice Requires="x14">
            <control shapeId="2085" r:id="rId17" name="Group Box 37">
              <controlPr defaultSize="0" autoFill="0" autoPict="0">
                <anchor moveWithCells="1">
                  <from>
                    <xdr:col>3</xdr:col>
                    <xdr:colOff>76200</xdr:colOff>
                    <xdr:row>24</xdr:row>
                    <xdr:rowOff>0</xdr:rowOff>
                  </from>
                  <to>
                    <xdr:col>3</xdr:col>
                    <xdr:colOff>762000</xdr:colOff>
                    <xdr:row>25</xdr:row>
                    <xdr:rowOff>66675</xdr:rowOff>
                  </to>
                </anchor>
              </controlPr>
            </control>
          </mc:Choice>
        </mc:AlternateContent>
        <mc:AlternateContent xmlns:mc="http://schemas.openxmlformats.org/markup-compatibility/2006">
          <mc:Choice Requires="x14">
            <control shapeId="2086" r:id="rId18" name="Group Box 38">
              <controlPr defaultSize="0" autoFill="0" autoPict="0">
                <anchor moveWithCells="1">
                  <from>
                    <xdr:col>3</xdr:col>
                    <xdr:colOff>9525</xdr:colOff>
                    <xdr:row>24</xdr:row>
                    <xdr:rowOff>0</xdr:rowOff>
                  </from>
                  <to>
                    <xdr:col>3</xdr:col>
                    <xdr:colOff>762000</xdr:colOff>
                    <xdr:row>26</xdr:row>
                    <xdr:rowOff>28575</xdr:rowOff>
                  </to>
                </anchor>
              </controlPr>
            </control>
          </mc:Choice>
        </mc:AlternateContent>
        <mc:AlternateContent xmlns:mc="http://schemas.openxmlformats.org/markup-compatibility/2006">
          <mc:Choice Requires="x14">
            <control shapeId="2087" r:id="rId19" name="Group Box 39">
              <controlPr defaultSize="0" autoFill="0" autoPict="0">
                <anchor moveWithCells="1">
                  <from>
                    <xdr:col>3</xdr:col>
                    <xdr:colOff>0</xdr:colOff>
                    <xdr:row>24</xdr:row>
                    <xdr:rowOff>0</xdr:rowOff>
                  </from>
                  <to>
                    <xdr:col>3</xdr:col>
                    <xdr:colOff>762000</xdr:colOff>
                    <xdr:row>25</xdr:row>
                    <xdr:rowOff>9525</xdr:rowOff>
                  </to>
                </anchor>
              </controlPr>
            </control>
          </mc:Choice>
        </mc:AlternateContent>
        <mc:AlternateContent xmlns:mc="http://schemas.openxmlformats.org/markup-compatibility/2006">
          <mc:Choice Requires="x14">
            <control shapeId="2089" r:id="rId20" name="Group Box 41">
              <controlPr defaultSize="0" autoFill="0" autoPict="0">
                <anchor moveWithCells="1">
                  <from>
                    <xdr:col>3</xdr:col>
                    <xdr:colOff>76200</xdr:colOff>
                    <xdr:row>25</xdr:row>
                    <xdr:rowOff>0</xdr:rowOff>
                  </from>
                  <to>
                    <xdr:col>3</xdr:col>
                    <xdr:colOff>762000</xdr:colOff>
                    <xdr:row>25</xdr:row>
                    <xdr:rowOff>257175</xdr:rowOff>
                  </to>
                </anchor>
              </controlPr>
            </control>
          </mc:Choice>
        </mc:AlternateContent>
        <mc:AlternateContent xmlns:mc="http://schemas.openxmlformats.org/markup-compatibility/2006">
          <mc:Choice Requires="x14">
            <control shapeId="2090" r:id="rId21" name="Group Box 42">
              <controlPr defaultSize="0" autoFill="0" autoPict="0">
                <anchor moveWithCells="1">
                  <from>
                    <xdr:col>3</xdr:col>
                    <xdr:colOff>0</xdr:colOff>
                    <xdr:row>25</xdr:row>
                    <xdr:rowOff>0</xdr:rowOff>
                  </from>
                  <to>
                    <xdr:col>3</xdr:col>
                    <xdr:colOff>762000</xdr:colOff>
                    <xdr:row>25</xdr:row>
                    <xdr:rowOff>200025</xdr:rowOff>
                  </to>
                </anchor>
              </controlPr>
            </control>
          </mc:Choice>
        </mc:AlternateContent>
        <mc:AlternateContent xmlns:mc="http://schemas.openxmlformats.org/markup-compatibility/2006">
          <mc:Choice Requires="x14">
            <control shapeId="2091" r:id="rId22" name="Group Box 43">
              <controlPr defaultSize="0" autoFill="0" autoPict="0">
                <anchor moveWithCells="1">
                  <from>
                    <xdr:col>3</xdr:col>
                    <xdr:colOff>0</xdr:colOff>
                    <xdr:row>25</xdr:row>
                    <xdr:rowOff>0</xdr:rowOff>
                  </from>
                  <to>
                    <xdr:col>3</xdr:col>
                    <xdr:colOff>762000</xdr:colOff>
                    <xdr:row>25</xdr:row>
                    <xdr:rowOff>200025</xdr:rowOff>
                  </to>
                </anchor>
              </controlPr>
            </control>
          </mc:Choice>
        </mc:AlternateContent>
        <mc:AlternateContent xmlns:mc="http://schemas.openxmlformats.org/markup-compatibility/2006">
          <mc:Choice Requires="x14">
            <control shapeId="2092" r:id="rId23" name="Group Box 44">
              <controlPr defaultSize="0" autoFill="0" autoPict="0">
                <anchor moveWithCells="1">
                  <from>
                    <xdr:col>3</xdr:col>
                    <xdr:colOff>38100</xdr:colOff>
                    <xdr:row>25</xdr:row>
                    <xdr:rowOff>0</xdr:rowOff>
                  </from>
                  <to>
                    <xdr:col>3</xdr:col>
                    <xdr:colOff>762000</xdr:colOff>
                    <xdr:row>25</xdr:row>
                    <xdr:rowOff>257175</xdr:rowOff>
                  </to>
                </anchor>
              </controlPr>
            </control>
          </mc:Choice>
        </mc:AlternateContent>
        <mc:AlternateContent xmlns:mc="http://schemas.openxmlformats.org/markup-compatibility/2006">
          <mc:Choice Requires="x14">
            <control shapeId="2093" r:id="rId24" name="Group Box 45">
              <controlPr defaultSize="0" autoFill="0" autoPict="0">
                <anchor moveWithCells="1">
                  <from>
                    <xdr:col>3</xdr:col>
                    <xdr:colOff>9525</xdr:colOff>
                    <xdr:row>25</xdr:row>
                    <xdr:rowOff>0</xdr:rowOff>
                  </from>
                  <to>
                    <xdr:col>3</xdr:col>
                    <xdr:colOff>762000</xdr:colOff>
                    <xdr:row>34</xdr:row>
                    <xdr:rowOff>133350</xdr:rowOff>
                  </to>
                </anchor>
              </controlPr>
            </control>
          </mc:Choice>
        </mc:AlternateContent>
        <mc:AlternateContent xmlns:mc="http://schemas.openxmlformats.org/markup-compatibility/2006">
          <mc:Choice Requires="x14">
            <control shapeId="2094" r:id="rId25" name="Group Box 46">
              <controlPr defaultSize="0" autoFill="0" autoPict="0">
                <anchor moveWithCells="1">
                  <from>
                    <xdr:col>3</xdr:col>
                    <xdr:colOff>9525</xdr:colOff>
                    <xdr:row>24</xdr:row>
                    <xdr:rowOff>0</xdr:rowOff>
                  </from>
                  <to>
                    <xdr:col>3</xdr:col>
                    <xdr:colOff>762000</xdr:colOff>
                    <xdr:row>27</xdr:row>
                    <xdr:rowOff>38100</xdr:rowOff>
                  </to>
                </anchor>
              </controlPr>
            </control>
          </mc:Choice>
        </mc:AlternateContent>
        <mc:AlternateContent xmlns:mc="http://schemas.openxmlformats.org/markup-compatibility/2006">
          <mc:Choice Requires="x14">
            <control shapeId="2051" r:id="rId26" name="Group Box 3">
              <controlPr defaultSize="0" autoFill="0" autoPict="0">
                <anchor moveWithCells="1">
                  <from>
                    <xdr:col>2</xdr:col>
                    <xdr:colOff>9525</xdr:colOff>
                    <xdr:row>21</xdr:row>
                    <xdr:rowOff>0</xdr:rowOff>
                  </from>
                  <to>
                    <xdr:col>2</xdr:col>
                    <xdr:colOff>2619375</xdr:colOff>
                    <xdr:row>22</xdr:row>
                    <xdr:rowOff>47625</xdr:rowOff>
                  </to>
                </anchor>
              </controlPr>
            </control>
          </mc:Choice>
        </mc:AlternateContent>
        <mc:AlternateContent xmlns:mc="http://schemas.openxmlformats.org/markup-compatibility/2006">
          <mc:Choice Requires="x14">
            <control shapeId="2052" r:id="rId27" name="Group Box 4">
              <controlPr defaultSize="0" autoFill="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053" r:id="rId28" name="Group Box 5">
              <controlPr defaultSize="0" autoFill="0" autoPict="0">
                <anchor moveWithCells="1">
                  <from>
                    <xdr:col>2</xdr:col>
                    <xdr:colOff>9525</xdr:colOff>
                    <xdr:row>23</xdr:row>
                    <xdr:rowOff>0</xdr:rowOff>
                  </from>
                  <to>
                    <xdr:col>3</xdr:col>
                    <xdr:colOff>0</xdr:colOff>
                    <xdr:row>25</xdr:row>
                    <xdr:rowOff>57150</xdr:rowOff>
                  </to>
                </anchor>
              </controlPr>
            </control>
          </mc:Choice>
        </mc:AlternateContent>
        <mc:AlternateContent xmlns:mc="http://schemas.openxmlformats.org/markup-compatibility/2006">
          <mc:Choice Requires="x14">
            <control shapeId="2054" r:id="rId29" name="Group Box 6">
              <controlPr defaultSize="0" autoFill="0" autoPict="0" altText="">
                <anchor moveWithCells="1">
                  <from>
                    <xdr:col>2</xdr:col>
                    <xdr:colOff>0</xdr:colOff>
                    <xdr:row>23</xdr:row>
                    <xdr:rowOff>0</xdr:rowOff>
                  </from>
                  <to>
                    <xdr:col>3</xdr:col>
                    <xdr:colOff>9525</xdr:colOff>
                    <xdr:row>33</xdr:row>
                    <xdr:rowOff>9525</xdr:rowOff>
                  </to>
                </anchor>
              </controlPr>
            </control>
          </mc:Choice>
        </mc:AlternateContent>
        <mc:AlternateContent xmlns:mc="http://schemas.openxmlformats.org/markup-compatibility/2006">
          <mc:Choice Requires="x14">
            <control shapeId="2055" r:id="rId30" name="Group Box 7">
              <controlPr defaultSize="0" autoFill="0" autoPict="0">
                <anchor moveWithCells="1">
                  <from>
                    <xdr:col>2</xdr:col>
                    <xdr:colOff>180975</xdr:colOff>
                    <xdr:row>23</xdr:row>
                    <xdr:rowOff>0</xdr:rowOff>
                  </from>
                  <to>
                    <xdr:col>2</xdr:col>
                    <xdr:colOff>1181100</xdr:colOff>
                    <xdr:row>23</xdr:row>
                    <xdr:rowOff>447675</xdr:rowOff>
                  </to>
                </anchor>
              </controlPr>
            </control>
          </mc:Choice>
        </mc:AlternateContent>
        <mc:AlternateContent xmlns:mc="http://schemas.openxmlformats.org/markup-compatibility/2006">
          <mc:Choice Requires="x14">
            <control shapeId="2056" r:id="rId31" name="Group Box 8">
              <controlPr defaultSize="0" autoFill="0" autoPict="0">
                <anchor moveWithCells="1">
                  <from>
                    <xdr:col>2</xdr:col>
                    <xdr:colOff>38100</xdr:colOff>
                    <xdr:row>23</xdr:row>
                    <xdr:rowOff>0</xdr:rowOff>
                  </from>
                  <to>
                    <xdr:col>2</xdr:col>
                    <xdr:colOff>2600325</xdr:colOff>
                    <xdr:row>23</xdr:row>
                    <xdr:rowOff>257175</xdr:rowOff>
                  </to>
                </anchor>
              </controlPr>
            </control>
          </mc:Choice>
        </mc:AlternateContent>
        <mc:AlternateContent xmlns:mc="http://schemas.openxmlformats.org/markup-compatibility/2006">
          <mc:Choice Requires="x14">
            <control shapeId="2057" r:id="rId32" name="Group Box 9">
              <controlPr defaultSize="0" autoFill="0" autoPict="0">
                <anchor moveWithCells="1">
                  <from>
                    <xdr:col>2</xdr:col>
                    <xdr:colOff>28575</xdr:colOff>
                    <xdr:row>23</xdr:row>
                    <xdr:rowOff>0</xdr:rowOff>
                  </from>
                  <to>
                    <xdr:col>2</xdr:col>
                    <xdr:colOff>2057400</xdr:colOff>
                    <xdr:row>23</xdr:row>
                    <xdr:rowOff>257175</xdr:rowOff>
                  </to>
                </anchor>
              </controlPr>
            </control>
          </mc:Choice>
        </mc:AlternateContent>
        <mc:AlternateContent xmlns:mc="http://schemas.openxmlformats.org/markup-compatibility/2006">
          <mc:Choice Requires="x14">
            <control shapeId="2058" r:id="rId33" name="Group Box 10">
              <controlPr defaultSize="0" autoFill="0" autoPict="0">
                <anchor moveWithCells="1">
                  <from>
                    <xdr:col>2</xdr:col>
                    <xdr:colOff>76200</xdr:colOff>
                    <xdr:row>23</xdr:row>
                    <xdr:rowOff>0</xdr:rowOff>
                  </from>
                  <to>
                    <xdr:col>2</xdr:col>
                    <xdr:colOff>2124075</xdr:colOff>
                    <xdr:row>23</xdr:row>
                    <xdr:rowOff>238125</xdr:rowOff>
                  </to>
                </anchor>
              </controlPr>
            </control>
          </mc:Choice>
        </mc:AlternateContent>
        <mc:AlternateContent xmlns:mc="http://schemas.openxmlformats.org/markup-compatibility/2006">
          <mc:Choice Requires="x14">
            <control shapeId="2059" r:id="rId34" name="Group Box 11">
              <controlPr defaultSize="0" autoFill="0" autoPict="0">
                <anchor moveWithCells="1">
                  <from>
                    <xdr:col>2</xdr:col>
                    <xdr:colOff>9525</xdr:colOff>
                    <xdr:row>23</xdr:row>
                    <xdr:rowOff>0</xdr:rowOff>
                  </from>
                  <to>
                    <xdr:col>2</xdr:col>
                    <xdr:colOff>2619375</xdr:colOff>
                    <xdr:row>24</xdr:row>
                    <xdr:rowOff>57150</xdr:rowOff>
                  </to>
                </anchor>
              </controlPr>
            </control>
          </mc:Choice>
        </mc:AlternateContent>
        <mc:AlternateContent xmlns:mc="http://schemas.openxmlformats.org/markup-compatibility/2006">
          <mc:Choice Requires="x14">
            <control shapeId="2060" r:id="rId35" name="Group Box 12">
              <controlPr defaultSize="0" autoFill="0" autoPict="0">
                <anchor moveWithCells="1">
                  <from>
                    <xdr:col>2</xdr:col>
                    <xdr:colOff>0</xdr:colOff>
                    <xdr:row>23</xdr:row>
                    <xdr:rowOff>0</xdr:rowOff>
                  </from>
                  <to>
                    <xdr:col>3</xdr:col>
                    <xdr:colOff>0</xdr:colOff>
                    <xdr:row>23</xdr:row>
                    <xdr:rowOff>190500</xdr:rowOff>
                  </to>
                </anchor>
              </controlPr>
            </control>
          </mc:Choice>
        </mc:AlternateContent>
        <mc:AlternateContent xmlns:mc="http://schemas.openxmlformats.org/markup-compatibility/2006">
          <mc:Choice Requires="x14">
            <control shapeId="2061" r:id="rId36" name="Group Box 13">
              <controlPr defaultSize="0" autoFill="0" autoPict="0">
                <anchor moveWithCells="1">
                  <from>
                    <xdr:col>2</xdr:col>
                    <xdr:colOff>0</xdr:colOff>
                    <xdr:row>23</xdr:row>
                    <xdr:rowOff>0</xdr:rowOff>
                  </from>
                  <to>
                    <xdr:col>3</xdr:col>
                    <xdr:colOff>0</xdr:colOff>
                    <xdr:row>23</xdr:row>
                    <xdr:rowOff>190500</xdr:rowOff>
                  </to>
                </anchor>
              </controlPr>
            </control>
          </mc:Choice>
        </mc:AlternateContent>
        <mc:AlternateContent xmlns:mc="http://schemas.openxmlformats.org/markup-compatibility/2006">
          <mc:Choice Requires="x14">
            <control shapeId="2062" r:id="rId37" name="Group Box 14">
              <controlPr defaultSize="0" autoFill="0" autoPict="0">
                <anchor moveWithCells="1">
                  <from>
                    <xdr:col>2</xdr:col>
                    <xdr:colOff>38100</xdr:colOff>
                    <xdr:row>23</xdr:row>
                    <xdr:rowOff>0</xdr:rowOff>
                  </from>
                  <to>
                    <xdr:col>2</xdr:col>
                    <xdr:colOff>2600325</xdr:colOff>
                    <xdr:row>23</xdr:row>
                    <xdr:rowOff>257175</xdr:rowOff>
                  </to>
                </anchor>
              </controlPr>
            </control>
          </mc:Choice>
        </mc:AlternateContent>
        <mc:AlternateContent xmlns:mc="http://schemas.openxmlformats.org/markup-compatibility/2006">
          <mc:Choice Requires="x14">
            <control shapeId="2063" r:id="rId38" name="Group Box 15">
              <controlPr defaultSize="0" autoFill="0" autoPict="0">
                <anchor moveWithCells="1">
                  <from>
                    <xdr:col>2</xdr:col>
                    <xdr:colOff>28575</xdr:colOff>
                    <xdr:row>23</xdr:row>
                    <xdr:rowOff>0</xdr:rowOff>
                  </from>
                  <to>
                    <xdr:col>2</xdr:col>
                    <xdr:colOff>2057400</xdr:colOff>
                    <xdr:row>23</xdr:row>
                    <xdr:rowOff>257175</xdr:rowOff>
                  </to>
                </anchor>
              </controlPr>
            </control>
          </mc:Choice>
        </mc:AlternateContent>
        <mc:AlternateContent xmlns:mc="http://schemas.openxmlformats.org/markup-compatibility/2006">
          <mc:Choice Requires="x14">
            <control shapeId="2064" r:id="rId39" name="Group Box 16">
              <controlPr defaultSize="0" autoFill="0" autoPict="0">
                <anchor moveWithCells="1">
                  <from>
                    <xdr:col>2</xdr:col>
                    <xdr:colOff>76200</xdr:colOff>
                    <xdr:row>23</xdr:row>
                    <xdr:rowOff>0</xdr:rowOff>
                  </from>
                  <to>
                    <xdr:col>2</xdr:col>
                    <xdr:colOff>2124075</xdr:colOff>
                    <xdr:row>23</xdr:row>
                    <xdr:rowOff>257175</xdr:rowOff>
                  </to>
                </anchor>
              </controlPr>
            </control>
          </mc:Choice>
        </mc:AlternateContent>
        <mc:AlternateContent xmlns:mc="http://schemas.openxmlformats.org/markup-compatibility/2006">
          <mc:Choice Requires="x14">
            <control shapeId="2065" r:id="rId40" name="Group Box 17">
              <controlPr defaultSize="0" autoFill="0" autoPict="0">
                <anchor moveWithCells="1">
                  <from>
                    <xdr:col>2</xdr:col>
                    <xdr:colOff>9525</xdr:colOff>
                    <xdr:row>23</xdr:row>
                    <xdr:rowOff>0</xdr:rowOff>
                  </from>
                  <to>
                    <xdr:col>2</xdr:col>
                    <xdr:colOff>2619375</xdr:colOff>
                    <xdr:row>24</xdr:row>
                    <xdr:rowOff>57150</xdr:rowOff>
                  </to>
                </anchor>
              </controlPr>
            </control>
          </mc:Choice>
        </mc:AlternateContent>
        <mc:AlternateContent xmlns:mc="http://schemas.openxmlformats.org/markup-compatibility/2006">
          <mc:Choice Requires="x14">
            <control shapeId="2066" r:id="rId41" name="Group Box 18">
              <controlPr defaultSize="0" autoFill="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067" r:id="rId42" name="Group Box 19">
              <controlPr defaultSize="0" autoFill="0" autoPict="0" altText="">
                <anchor moveWithCells="1">
                  <from>
                    <xdr:col>2</xdr:col>
                    <xdr:colOff>0</xdr:colOff>
                    <xdr:row>23</xdr:row>
                    <xdr:rowOff>0</xdr:rowOff>
                  </from>
                  <to>
                    <xdr:col>3</xdr:col>
                    <xdr:colOff>9525</xdr:colOff>
                    <xdr:row>33</xdr:row>
                    <xdr:rowOff>9525</xdr:rowOff>
                  </to>
                </anchor>
              </controlPr>
            </control>
          </mc:Choice>
        </mc:AlternateContent>
        <mc:AlternateContent xmlns:mc="http://schemas.openxmlformats.org/markup-compatibility/2006">
          <mc:Choice Requires="x14">
            <control shapeId="2068" r:id="rId43" name="Group Box 20">
              <controlPr defaultSize="0" autoFill="0" autoPict="0">
                <anchor moveWithCells="1">
                  <from>
                    <xdr:col>2</xdr:col>
                    <xdr:colOff>76200</xdr:colOff>
                    <xdr:row>24</xdr:row>
                    <xdr:rowOff>0</xdr:rowOff>
                  </from>
                  <to>
                    <xdr:col>2</xdr:col>
                    <xdr:colOff>2124075</xdr:colOff>
                    <xdr:row>25</xdr:row>
                    <xdr:rowOff>66675</xdr:rowOff>
                  </to>
                </anchor>
              </controlPr>
            </control>
          </mc:Choice>
        </mc:AlternateContent>
        <mc:AlternateContent xmlns:mc="http://schemas.openxmlformats.org/markup-compatibility/2006">
          <mc:Choice Requires="x14">
            <control shapeId="2069" r:id="rId44" name="Group Box 21">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070" r:id="rId45" name="Group Box 22">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071" r:id="rId46" name="Group Box 23">
              <controlPr defaultSize="0" autoFill="0" autoPict="0">
                <anchor moveWithCells="1">
                  <from>
                    <xdr:col>2</xdr:col>
                    <xdr:colOff>38100</xdr:colOff>
                    <xdr:row>24</xdr:row>
                    <xdr:rowOff>0</xdr:rowOff>
                  </from>
                  <to>
                    <xdr:col>2</xdr:col>
                    <xdr:colOff>2600325</xdr:colOff>
                    <xdr:row>25</xdr:row>
                    <xdr:rowOff>66675</xdr:rowOff>
                  </to>
                </anchor>
              </controlPr>
            </control>
          </mc:Choice>
        </mc:AlternateContent>
        <mc:AlternateContent xmlns:mc="http://schemas.openxmlformats.org/markup-compatibility/2006">
          <mc:Choice Requires="x14">
            <control shapeId="2072" r:id="rId47" name="Group Box 24">
              <controlPr defaultSize="0" autoFill="0" autoPict="0">
                <anchor moveWithCells="1">
                  <from>
                    <xdr:col>2</xdr:col>
                    <xdr:colOff>9525</xdr:colOff>
                    <xdr:row>24</xdr:row>
                    <xdr:rowOff>0</xdr:rowOff>
                  </from>
                  <to>
                    <xdr:col>2</xdr:col>
                    <xdr:colOff>2619375</xdr:colOff>
                    <xdr:row>33</xdr:row>
                    <xdr:rowOff>133350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2</xdr:col>
                    <xdr:colOff>76200</xdr:colOff>
                    <xdr:row>24</xdr:row>
                    <xdr:rowOff>0</xdr:rowOff>
                  </from>
                  <to>
                    <xdr:col>2</xdr:col>
                    <xdr:colOff>2124075</xdr:colOff>
                    <xdr:row>25</xdr:row>
                    <xdr:rowOff>66675</xdr:rowOff>
                  </to>
                </anchor>
              </controlPr>
            </control>
          </mc:Choice>
        </mc:AlternateContent>
        <mc:AlternateContent xmlns:mc="http://schemas.openxmlformats.org/markup-compatibility/2006">
          <mc:Choice Requires="x14">
            <control shapeId="2096" r:id="rId49" name="Group Box 48">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097" r:id="rId50" name="Group Box 49">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2</xdr:col>
                    <xdr:colOff>38100</xdr:colOff>
                    <xdr:row>24</xdr:row>
                    <xdr:rowOff>0</xdr:rowOff>
                  </from>
                  <to>
                    <xdr:col>2</xdr:col>
                    <xdr:colOff>2600325</xdr:colOff>
                    <xdr:row>25</xdr:row>
                    <xdr:rowOff>66675</xdr:rowOff>
                  </to>
                </anchor>
              </controlPr>
            </control>
          </mc:Choice>
        </mc:AlternateContent>
        <mc:AlternateContent xmlns:mc="http://schemas.openxmlformats.org/markup-compatibility/2006">
          <mc:Choice Requires="x14">
            <control shapeId="2099" r:id="rId52" name="Group Box 51">
              <controlPr defaultSize="0" autoFill="0" autoPict="0">
                <anchor moveWithCells="1">
                  <from>
                    <xdr:col>2</xdr:col>
                    <xdr:colOff>9525</xdr:colOff>
                    <xdr:row>24</xdr:row>
                    <xdr:rowOff>0</xdr:rowOff>
                  </from>
                  <to>
                    <xdr:col>2</xdr:col>
                    <xdr:colOff>2619375</xdr:colOff>
                    <xdr:row>33</xdr:row>
                    <xdr:rowOff>133350</xdr:rowOff>
                  </to>
                </anchor>
              </controlPr>
            </control>
          </mc:Choice>
        </mc:AlternateContent>
        <mc:AlternateContent xmlns:mc="http://schemas.openxmlformats.org/markup-compatibility/2006">
          <mc:Choice Requires="x14">
            <control shapeId="2101" r:id="rId53" name="Group Box 53">
              <controlPr defaultSize="0" autoFill="0" autoPict="0">
                <anchor moveWithCells="1">
                  <from>
                    <xdr:col>2</xdr:col>
                    <xdr:colOff>9525</xdr:colOff>
                    <xdr:row>25</xdr:row>
                    <xdr:rowOff>0</xdr:rowOff>
                  </from>
                  <to>
                    <xdr:col>2</xdr:col>
                    <xdr:colOff>2619375</xdr:colOff>
                    <xdr:row>28</xdr:row>
                    <xdr:rowOff>180975</xdr:rowOff>
                  </to>
                </anchor>
              </controlPr>
            </control>
          </mc:Choice>
        </mc:AlternateContent>
        <mc:AlternateContent xmlns:mc="http://schemas.openxmlformats.org/markup-compatibility/2006">
          <mc:Choice Requires="x14">
            <control shapeId="2102" r:id="rId54" name="Group Box 54">
              <controlPr defaultSize="0" autoFill="0" autoPict="0">
                <anchor moveWithCells="1">
                  <from>
                    <xdr:col>2</xdr:col>
                    <xdr:colOff>9525</xdr:colOff>
                    <xdr:row>25</xdr:row>
                    <xdr:rowOff>0</xdr:rowOff>
                  </from>
                  <to>
                    <xdr:col>2</xdr:col>
                    <xdr:colOff>2619375</xdr:colOff>
                    <xdr:row>28</xdr:row>
                    <xdr:rowOff>180975</xdr:rowOff>
                  </to>
                </anchor>
              </controlPr>
            </control>
          </mc:Choice>
        </mc:AlternateContent>
        <mc:AlternateContent xmlns:mc="http://schemas.openxmlformats.org/markup-compatibility/2006">
          <mc:Choice Requires="x14">
            <control shapeId="2104" r:id="rId55" name="Group Box 56">
              <controlPr defaultSize="0" autoFill="0" autoPict="0">
                <anchor moveWithCells="1">
                  <from>
                    <xdr:col>2</xdr:col>
                    <xdr:colOff>9525</xdr:colOff>
                    <xdr:row>26</xdr:row>
                    <xdr:rowOff>0</xdr:rowOff>
                  </from>
                  <to>
                    <xdr:col>2</xdr:col>
                    <xdr:colOff>2619375</xdr:colOff>
                    <xdr:row>29</xdr:row>
                    <xdr:rowOff>133350</xdr:rowOff>
                  </to>
                </anchor>
              </controlPr>
            </control>
          </mc:Choice>
        </mc:AlternateContent>
        <mc:AlternateContent xmlns:mc="http://schemas.openxmlformats.org/markup-compatibility/2006">
          <mc:Choice Requires="x14">
            <control shapeId="2198" r:id="rId56" name="Group Box 150">
              <controlPr defaultSize="0" autoFill="0" autoPict="0">
                <anchor moveWithCells="1">
                  <from>
                    <xdr:col>2</xdr:col>
                    <xdr:colOff>9525</xdr:colOff>
                    <xdr:row>21</xdr:row>
                    <xdr:rowOff>0</xdr:rowOff>
                  </from>
                  <to>
                    <xdr:col>2</xdr:col>
                    <xdr:colOff>2619375</xdr:colOff>
                    <xdr:row>21</xdr:row>
                    <xdr:rowOff>371475</xdr:rowOff>
                  </to>
                </anchor>
              </controlPr>
            </control>
          </mc:Choice>
        </mc:AlternateContent>
        <mc:AlternateContent xmlns:mc="http://schemas.openxmlformats.org/markup-compatibility/2006">
          <mc:Choice Requires="x14">
            <control shapeId="2199" r:id="rId57" name="Group Box 151">
              <controlPr defaultSize="0" autoFill="0" autoPict="0">
                <anchor moveWithCells="1">
                  <from>
                    <xdr:col>2</xdr:col>
                    <xdr:colOff>0</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2200" r:id="rId58" name="Group Box 152">
              <controlPr defaultSize="0" autoFill="0" autoPict="0">
                <anchor moveWithCells="1">
                  <from>
                    <xdr:col>2</xdr:col>
                    <xdr:colOff>9525</xdr:colOff>
                    <xdr:row>22</xdr:row>
                    <xdr:rowOff>0</xdr:rowOff>
                  </from>
                  <to>
                    <xdr:col>3</xdr:col>
                    <xdr:colOff>0</xdr:colOff>
                    <xdr:row>23</xdr:row>
                    <xdr:rowOff>276225</xdr:rowOff>
                  </to>
                </anchor>
              </controlPr>
            </control>
          </mc:Choice>
        </mc:AlternateContent>
        <mc:AlternateContent xmlns:mc="http://schemas.openxmlformats.org/markup-compatibility/2006">
          <mc:Choice Requires="x14">
            <control shapeId="2201" r:id="rId59" name="Group Box 153">
              <controlPr defaultSize="0" autoFill="0" autoPict="0" altText="">
                <anchor moveWithCells="1">
                  <from>
                    <xdr:col>2</xdr:col>
                    <xdr:colOff>0</xdr:colOff>
                    <xdr:row>22</xdr:row>
                    <xdr:rowOff>0</xdr:rowOff>
                  </from>
                  <to>
                    <xdr:col>3</xdr:col>
                    <xdr:colOff>9525</xdr:colOff>
                    <xdr:row>23</xdr:row>
                    <xdr:rowOff>447675</xdr:rowOff>
                  </to>
                </anchor>
              </controlPr>
            </control>
          </mc:Choice>
        </mc:AlternateContent>
        <mc:AlternateContent xmlns:mc="http://schemas.openxmlformats.org/markup-compatibility/2006">
          <mc:Choice Requires="x14">
            <control shapeId="2202" r:id="rId60" name="Group Box 154">
              <controlPr defaultSize="0" autoFill="0" autoPict="0">
                <anchor moveWithCells="1">
                  <from>
                    <xdr:col>2</xdr:col>
                    <xdr:colOff>180975</xdr:colOff>
                    <xdr:row>22</xdr:row>
                    <xdr:rowOff>0</xdr:rowOff>
                  </from>
                  <to>
                    <xdr:col>2</xdr:col>
                    <xdr:colOff>1181100</xdr:colOff>
                    <xdr:row>23</xdr:row>
                    <xdr:rowOff>0</xdr:rowOff>
                  </to>
                </anchor>
              </controlPr>
            </control>
          </mc:Choice>
        </mc:AlternateContent>
        <mc:AlternateContent xmlns:mc="http://schemas.openxmlformats.org/markup-compatibility/2006">
          <mc:Choice Requires="x14">
            <control shapeId="2203" r:id="rId61" name="Group Box 155">
              <controlPr defaultSize="0" autoFill="0" autoPict="0">
                <anchor moveWithCells="1">
                  <from>
                    <xdr:col>2</xdr:col>
                    <xdr:colOff>38100</xdr:colOff>
                    <xdr:row>22</xdr:row>
                    <xdr:rowOff>0</xdr:rowOff>
                  </from>
                  <to>
                    <xdr:col>2</xdr:col>
                    <xdr:colOff>2600325</xdr:colOff>
                    <xdr:row>22</xdr:row>
                    <xdr:rowOff>257175</xdr:rowOff>
                  </to>
                </anchor>
              </controlPr>
            </control>
          </mc:Choice>
        </mc:AlternateContent>
        <mc:AlternateContent xmlns:mc="http://schemas.openxmlformats.org/markup-compatibility/2006">
          <mc:Choice Requires="x14">
            <control shapeId="2204" r:id="rId62" name="Group Box 156">
              <controlPr defaultSize="0" autoFill="0" autoPict="0">
                <anchor moveWithCells="1">
                  <from>
                    <xdr:col>2</xdr:col>
                    <xdr:colOff>28575</xdr:colOff>
                    <xdr:row>22</xdr:row>
                    <xdr:rowOff>0</xdr:rowOff>
                  </from>
                  <to>
                    <xdr:col>2</xdr:col>
                    <xdr:colOff>2057400</xdr:colOff>
                    <xdr:row>22</xdr:row>
                    <xdr:rowOff>257175</xdr:rowOff>
                  </to>
                </anchor>
              </controlPr>
            </control>
          </mc:Choice>
        </mc:AlternateContent>
        <mc:AlternateContent xmlns:mc="http://schemas.openxmlformats.org/markup-compatibility/2006">
          <mc:Choice Requires="x14">
            <control shapeId="2205" r:id="rId63" name="Group Box 157">
              <controlPr defaultSize="0" autoFill="0" autoPict="0">
                <anchor moveWithCells="1">
                  <from>
                    <xdr:col>2</xdr:col>
                    <xdr:colOff>76200</xdr:colOff>
                    <xdr:row>22</xdr:row>
                    <xdr:rowOff>0</xdr:rowOff>
                  </from>
                  <to>
                    <xdr:col>2</xdr:col>
                    <xdr:colOff>2124075</xdr:colOff>
                    <xdr:row>22</xdr:row>
                    <xdr:rowOff>238125</xdr:rowOff>
                  </to>
                </anchor>
              </controlPr>
            </control>
          </mc:Choice>
        </mc:AlternateContent>
        <mc:AlternateContent xmlns:mc="http://schemas.openxmlformats.org/markup-compatibility/2006">
          <mc:Choice Requires="x14">
            <control shapeId="2206" r:id="rId64" name="Group Box 158">
              <controlPr defaultSize="0" autoFill="0" autoPict="0">
                <anchor moveWithCells="1">
                  <from>
                    <xdr:col>2</xdr:col>
                    <xdr:colOff>9525</xdr:colOff>
                    <xdr:row>22</xdr:row>
                    <xdr:rowOff>0</xdr:rowOff>
                  </from>
                  <to>
                    <xdr:col>2</xdr:col>
                    <xdr:colOff>2619375</xdr:colOff>
                    <xdr:row>23</xdr:row>
                    <xdr:rowOff>104775</xdr:rowOff>
                  </to>
                </anchor>
              </controlPr>
            </control>
          </mc:Choice>
        </mc:AlternateContent>
        <mc:AlternateContent xmlns:mc="http://schemas.openxmlformats.org/markup-compatibility/2006">
          <mc:Choice Requires="x14">
            <control shapeId="2207" r:id="rId65" name="Group Box 159">
              <controlPr defaultSize="0" autoFill="0" autoPict="0">
                <anchor moveWithCells="1">
                  <from>
                    <xdr:col>2</xdr:col>
                    <xdr:colOff>0</xdr:colOff>
                    <xdr:row>22</xdr:row>
                    <xdr:rowOff>0</xdr:rowOff>
                  </from>
                  <to>
                    <xdr:col>3</xdr:col>
                    <xdr:colOff>0</xdr:colOff>
                    <xdr:row>22</xdr:row>
                    <xdr:rowOff>190500</xdr:rowOff>
                  </to>
                </anchor>
              </controlPr>
            </control>
          </mc:Choice>
        </mc:AlternateContent>
        <mc:AlternateContent xmlns:mc="http://schemas.openxmlformats.org/markup-compatibility/2006">
          <mc:Choice Requires="x14">
            <control shapeId="2208" r:id="rId66" name="Group Box 160">
              <controlPr defaultSize="0" autoFill="0" autoPict="0">
                <anchor moveWithCells="1">
                  <from>
                    <xdr:col>2</xdr:col>
                    <xdr:colOff>0</xdr:colOff>
                    <xdr:row>22</xdr:row>
                    <xdr:rowOff>0</xdr:rowOff>
                  </from>
                  <to>
                    <xdr:col>3</xdr:col>
                    <xdr:colOff>0</xdr:colOff>
                    <xdr:row>22</xdr:row>
                    <xdr:rowOff>190500</xdr:rowOff>
                  </to>
                </anchor>
              </controlPr>
            </control>
          </mc:Choice>
        </mc:AlternateContent>
        <mc:AlternateContent xmlns:mc="http://schemas.openxmlformats.org/markup-compatibility/2006">
          <mc:Choice Requires="x14">
            <control shapeId="2209" r:id="rId67" name="Group Box 161">
              <controlPr defaultSize="0" autoFill="0" autoPict="0">
                <anchor moveWithCells="1">
                  <from>
                    <xdr:col>2</xdr:col>
                    <xdr:colOff>38100</xdr:colOff>
                    <xdr:row>22</xdr:row>
                    <xdr:rowOff>0</xdr:rowOff>
                  </from>
                  <to>
                    <xdr:col>2</xdr:col>
                    <xdr:colOff>2600325</xdr:colOff>
                    <xdr:row>22</xdr:row>
                    <xdr:rowOff>257175</xdr:rowOff>
                  </to>
                </anchor>
              </controlPr>
            </control>
          </mc:Choice>
        </mc:AlternateContent>
        <mc:AlternateContent xmlns:mc="http://schemas.openxmlformats.org/markup-compatibility/2006">
          <mc:Choice Requires="x14">
            <control shapeId="2210" r:id="rId68" name="Group Box 162">
              <controlPr defaultSize="0" autoFill="0" autoPict="0">
                <anchor moveWithCells="1">
                  <from>
                    <xdr:col>2</xdr:col>
                    <xdr:colOff>28575</xdr:colOff>
                    <xdr:row>22</xdr:row>
                    <xdr:rowOff>0</xdr:rowOff>
                  </from>
                  <to>
                    <xdr:col>2</xdr:col>
                    <xdr:colOff>2057400</xdr:colOff>
                    <xdr:row>22</xdr:row>
                    <xdr:rowOff>257175</xdr:rowOff>
                  </to>
                </anchor>
              </controlPr>
            </control>
          </mc:Choice>
        </mc:AlternateContent>
        <mc:AlternateContent xmlns:mc="http://schemas.openxmlformats.org/markup-compatibility/2006">
          <mc:Choice Requires="x14">
            <control shapeId="2211" r:id="rId69" name="Group Box 163">
              <controlPr defaultSize="0" autoFill="0" autoPict="0">
                <anchor moveWithCells="1">
                  <from>
                    <xdr:col>2</xdr:col>
                    <xdr:colOff>76200</xdr:colOff>
                    <xdr:row>22</xdr:row>
                    <xdr:rowOff>0</xdr:rowOff>
                  </from>
                  <to>
                    <xdr:col>2</xdr:col>
                    <xdr:colOff>2124075</xdr:colOff>
                    <xdr:row>22</xdr:row>
                    <xdr:rowOff>257175</xdr:rowOff>
                  </to>
                </anchor>
              </controlPr>
            </control>
          </mc:Choice>
        </mc:AlternateContent>
        <mc:AlternateContent xmlns:mc="http://schemas.openxmlformats.org/markup-compatibility/2006">
          <mc:Choice Requires="x14">
            <control shapeId="2212" r:id="rId70" name="Group Box 164">
              <controlPr defaultSize="0" autoFill="0" autoPict="0">
                <anchor moveWithCells="1">
                  <from>
                    <xdr:col>2</xdr:col>
                    <xdr:colOff>9525</xdr:colOff>
                    <xdr:row>22</xdr:row>
                    <xdr:rowOff>0</xdr:rowOff>
                  </from>
                  <to>
                    <xdr:col>2</xdr:col>
                    <xdr:colOff>2619375</xdr:colOff>
                    <xdr:row>23</xdr:row>
                    <xdr:rowOff>85725</xdr:rowOff>
                  </to>
                </anchor>
              </controlPr>
            </control>
          </mc:Choice>
        </mc:AlternateContent>
        <mc:AlternateContent xmlns:mc="http://schemas.openxmlformats.org/markup-compatibility/2006">
          <mc:Choice Requires="x14">
            <control shapeId="2213" r:id="rId71" name="Group Box 165">
              <controlPr defaultSize="0" autoFill="0" autoPict="0">
                <anchor moveWithCells="1">
                  <from>
                    <xdr:col>2</xdr:col>
                    <xdr:colOff>0</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2214" r:id="rId72" name="Group Box 166">
              <controlPr defaultSize="0" autoFill="0" autoPict="0" altText="">
                <anchor moveWithCells="1">
                  <from>
                    <xdr:col>2</xdr:col>
                    <xdr:colOff>0</xdr:colOff>
                    <xdr:row>22</xdr:row>
                    <xdr:rowOff>0</xdr:rowOff>
                  </from>
                  <to>
                    <xdr:col>3</xdr:col>
                    <xdr:colOff>9525</xdr:colOff>
                    <xdr:row>23</xdr:row>
                    <xdr:rowOff>447675</xdr:rowOff>
                  </to>
                </anchor>
              </controlPr>
            </control>
          </mc:Choice>
        </mc:AlternateContent>
        <mc:AlternateContent xmlns:mc="http://schemas.openxmlformats.org/markup-compatibility/2006">
          <mc:Choice Requires="x14">
            <control shapeId="2215" r:id="rId73" name="Group Box 167">
              <controlPr defaultSize="0" autoFill="0" autoPict="0">
                <anchor moveWithCells="1">
                  <from>
                    <xdr:col>2</xdr:col>
                    <xdr:colOff>76200</xdr:colOff>
                    <xdr:row>23</xdr:row>
                    <xdr:rowOff>0</xdr:rowOff>
                  </from>
                  <to>
                    <xdr:col>2</xdr:col>
                    <xdr:colOff>2124075</xdr:colOff>
                    <xdr:row>23</xdr:row>
                    <xdr:rowOff>257175</xdr:rowOff>
                  </to>
                </anchor>
              </controlPr>
            </control>
          </mc:Choice>
        </mc:AlternateContent>
        <mc:AlternateContent xmlns:mc="http://schemas.openxmlformats.org/markup-compatibility/2006">
          <mc:Choice Requires="x14">
            <control shapeId="2216" r:id="rId74" name="Group Box 168">
              <controlPr defaultSize="0" autoFill="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217" r:id="rId75" name="Group Box 169">
              <controlPr defaultSize="0" autoFill="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218" r:id="rId76" name="Group Box 170">
              <controlPr defaultSize="0" autoFill="0" autoPict="0">
                <anchor moveWithCells="1">
                  <from>
                    <xdr:col>2</xdr:col>
                    <xdr:colOff>38100</xdr:colOff>
                    <xdr:row>23</xdr:row>
                    <xdr:rowOff>0</xdr:rowOff>
                  </from>
                  <to>
                    <xdr:col>2</xdr:col>
                    <xdr:colOff>2600325</xdr:colOff>
                    <xdr:row>23</xdr:row>
                    <xdr:rowOff>257175</xdr:rowOff>
                  </to>
                </anchor>
              </controlPr>
            </control>
          </mc:Choice>
        </mc:AlternateContent>
        <mc:AlternateContent xmlns:mc="http://schemas.openxmlformats.org/markup-compatibility/2006">
          <mc:Choice Requires="x14">
            <control shapeId="2219" r:id="rId77" name="Group Box 171">
              <controlPr defaultSize="0" autoFill="0" autoPict="0">
                <anchor moveWithCells="1">
                  <from>
                    <xdr:col>2</xdr:col>
                    <xdr:colOff>9525</xdr:colOff>
                    <xdr:row>23</xdr:row>
                    <xdr:rowOff>0</xdr:rowOff>
                  </from>
                  <to>
                    <xdr:col>2</xdr:col>
                    <xdr:colOff>2619375</xdr:colOff>
                    <xdr:row>24</xdr:row>
                    <xdr:rowOff>57150</xdr:rowOff>
                  </to>
                </anchor>
              </controlPr>
            </control>
          </mc:Choice>
        </mc:AlternateContent>
        <mc:AlternateContent xmlns:mc="http://schemas.openxmlformats.org/markup-compatibility/2006">
          <mc:Choice Requires="x14">
            <control shapeId="2220" r:id="rId78" name="Group Box 172">
              <controlPr defaultSize="0" autoFill="0" autoPict="0">
                <anchor moveWithCells="1">
                  <from>
                    <xdr:col>2</xdr:col>
                    <xdr:colOff>76200</xdr:colOff>
                    <xdr:row>23</xdr:row>
                    <xdr:rowOff>0</xdr:rowOff>
                  </from>
                  <to>
                    <xdr:col>2</xdr:col>
                    <xdr:colOff>2124075</xdr:colOff>
                    <xdr:row>23</xdr:row>
                    <xdr:rowOff>257175</xdr:rowOff>
                  </to>
                </anchor>
              </controlPr>
            </control>
          </mc:Choice>
        </mc:AlternateContent>
        <mc:AlternateContent xmlns:mc="http://schemas.openxmlformats.org/markup-compatibility/2006">
          <mc:Choice Requires="x14">
            <control shapeId="2221" r:id="rId79" name="Group Box 173">
              <controlPr defaultSize="0" autoFill="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222" r:id="rId80" name="Group Box 174">
              <controlPr defaultSize="0" autoFill="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223" r:id="rId81" name="Group Box 175">
              <controlPr defaultSize="0" autoFill="0" autoPict="0">
                <anchor moveWithCells="1">
                  <from>
                    <xdr:col>2</xdr:col>
                    <xdr:colOff>38100</xdr:colOff>
                    <xdr:row>23</xdr:row>
                    <xdr:rowOff>0</xdr:rowOff>
                  </from>
                  <to>
                    <xdr:col>2</xdr:col>
                    <xdr:colOff>2600325</xdr:colOff>
                    <xdr:row>23</xdr:row>
                    <xdr:rowOff>257175</xdr:rowOff>
                  </to>
                </anchor>
              </controlPr>
            </control>
          </mc:Choice>
        </mc:AlternateContent>
        <mc:AlternateContent xmlns:mc="http://schemas.openxmlformats.org/markup-compatibility/2006">
          <mc:Choice Requires="x14">
            <control shapeId="2224" r:id="rId82" name="Group Box 176">
              <controlPr defaultSize="0" autoFill="0" autoPict="0">
                <anchor moveWithCells="1">
                  <from>
                    <xdr:col>2</xdr:col>
                    <xdr:colOff>9525</xdr:colOff>
                    <xdr:row>23</xdr:row>
                    <xdr:rowOff>0</xdr:rowOff>
                  </from>
                  <to>
                    <xdr:col>2</xdr:col>
                    <xdr:colOff>2619375</xdr:colOff>
                    <xdr:row>24</xdr:row>
                    <xdr:rowOff>57150</xdr:rowOff>
                  </to>
                </anchor>
              </controlPr>
            </control>
          </mc:Choice>
        </mc:AlternateContent>
        <mc:AlternateContent xmlns:mc="http://schemas.openxmlformats.org/markup-compatibility/2006">
          <mc:Choice Requires="x14">
            <control shapeId="2225" r:id="rId83" name="Group Box 177">
              <controlPr defaultSize="0" autoFill="0" autoPict="0">
                <anchor moveWithCells="1">
                  <from>
                    <xdr:col>2</xdr:col>
                    <xdr:colOff>9525</xdr:colOff>
                    <xdr:row>24</xdr:row>
                    <xdr:rowOff>0</xdr:rowOff>
                  </from>
                  <to>
                    <xdr:col>2</xdr:col>
                    <xdr:colOff>2619375</xdr:colOff>
                    <xdr:row>28</xdr:row>
                    <xdr:rowOff>133350</xdr:rowOff>
                  </to>
                </anchor>
              </controlPr>
            </control>
          </mc:Choice>
        </mc:AlternateContent>
        <mc:AlternateContent xmlns:mc="http://schemas.openxmlformats.org/markup-compatibility/2006">
          <mc:Choice Requires="x14">
            <control shapeId="2226" r:id="rId84" name="Group Box 178">
              <controlPr defaultSize="0" autoFill="0" autoPict="0">
                <anchor moveWithCells="1">
                  <from>
                    <xdr:col>2</xdr:col>
                    <xdr:colOff>9525</xdr:colOff>
                    <xdr:row>21</xdr:row>
                    <xdr:rowOff>0</xdr:rowOff>
                  </from>
                  <to>
                    <xdr:col>2</xdr:col>
                    <xdr:colOff>2619375</xdr:colOff>
                    <xdr:row>21</xdr:row>
                    <xdr:rowOff>533400</xdr:rowOff>
                  </to>
                </anchor>
              </controlPr>
            </control>
          </mc:Choice>
        </mc:AlternateContent>
        <mc:AlternateContent xmlns:mc="http://schemas.openxmlformats.org/markup-compatibility/2006">
          <mc:Choice Requires="x14">
            <control shapeId="2227" r:id="rId85" name="Group Box 179">
              <controlPr defaultSize="0" autoFill="0" autoPict="0">
                <anchor moveWithCells="1">
                  <from>
                    <xdr:col>2</xdr:col>
                    <xdr:colOff>9525</xdr:colOff>
                    <xdr:row>21</xdr:row>
                    <xdr:rowOff>0</xdr:rowOff>
                  </from>
                  <to>
                    <xdr:col>2</xdr:col>
                    <xdr:colOff>2619375</xdr:colOff>
                    <xdr:row>21</xdr:row>
                    <xdr:rowOff>533400</xdr:rowOff>
                  </to>
                </anchor>
              </controlPr>
            </control>
          </mc:Choice>
        </mc:AlternateContent>
        <mc:AlternateContent xmlns:mc="http://schemas.openxmlformats.org/markup-compatibility/2006">
          <mc:Choice Requires="x14">
            <control shapeId="2228" r:id="rId86" name="Group Box 180">
              <controlPr defaultSize="0" autoFill="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229" r:id="rId87" name="Group Box 181">
              <controlPr defaultSize="0" autoFill="0" autoPict="0">
                <anchor moveWithCells="1">
                  <from>
                    <xdr:col>2</xdr:col>
                    <xdr:colOff>9525</xdr:colOff>
                    <xdr:row>23</xdr:row>
                    <xdr:rowOff>0</xdr:rowOff>
                  </from>
                  <to>
                    <xdr:col>3</xdr:col>
                    <xdr:colOff>0</xdr:colOff>
                    <xdr:row>25</xdr:row>
                    <xdr:rowOff>57150</xdr:rowOff>
                  </to>
                </anchor>
              </controlPr>
            </control>
          </mc:Choice>
        </mc:AlternateContent>
        <mc:AlternateContent xmlns:mc="http://schemas.openxmlformats.org/markup-compatibility/2006">
          <mc:Choice Requires="x14">
            <control shapeId="2230" r:id="rId88" name="Group Box 182">
              <controlPr defaultSize="0" autoFill="0" autoPict="0" altText="">
                <anchor moveWithCells="1">
                  <from>
                    <xdr:col>2</xdr:col>
                    <xdr:colOff>0</xdr:colOff>
                    <xdr:row>23</xdr:row>
                    <xdr:rowOff>0</xdr:rowOff>
                  </from>
                  <to>
                    <xdr:col>3</xdr:col>
                    <xdr:colOff>9525</xdr:colOff>
                    <xdr:row>25</xdr:row>
                    <xdr:rowOff>209550</xdr:rowOff>
                  </to>
                </anchor>
              </controlPr>
            </control>
          </mc:Choice>
        </mc:AlternateContent>
        <mc:AlternateContent xmlns:mc="http://schemas.openxmlformats.org/markup-compatibility/2006">
          <mc:Choice Requires="x14">
            <control shapeId="2231" r:id="rId89" name="Group Box 183">
              <controlPr defaultSize="0" autoFill="0" autoPict="0">
                <anchor moveWithCells="1">
                  <from>
                    <xdr:col>2</xdr:col>
                    <xdr:colOff>180975</xdr:colOff>
                    <xdr:row>23</xdr:row>
                    <xdr:rowOff>0</xdr:rowOff>
                  </from>
                  <to>
                    <xdr:col>2</xdr:col>
                    <xdr:colOff>1181100</xdr:colOff>
                    <xdr:row>23</xdr:row>
                    <xdr:rowOff>333375</xdr:rowOff>
                  </to>
                </anchor>
              </controlPr>
            </control>
          </mc:Choice>
        </mc:AlternateContent>
        <mc:AlternateContent xmlns:mc="http://schemas.openxmlformats.org/markup-compatibility/2006">
          <mc:Choice Requires="x14">
            <control shapeId="2232" r:id="rId90" name="Group Box 184">
              <controlPr defaultSize="0" autoFill="0" autoPict="0">
                <anchor moveWithCells="1">
                  <from>
                    <xdr:col>2</xdr:col>
                    <xdr:colOff>38100</xdr:colOff>
                    <xdr:row>23</xdr:row>
                    <xdr:rowOff>0</xdr:rowOff>
                  </from>
                  <to>
                    <xdr:col>2</xdr:col>
                    <xdr:colOff>2600325</xdr:colOff>
                    <xdr:row>23</xdr:row>
                    <xdr:rowOff>257175</xdr:rowOff>
                  </to>
                </anchor>
              </controlPr>
            </control>
          </mc:Choice>
        </mc:AlternateContent>
        <mc:AlternateContent xmlns:mc="http://schemas.openxmlformats.org/markup-compatibility/2006">
          <mc:Choice Requires="x14">
            <control shapeId="2233" r:id="rId91" name="Group Box 185">
              <controlPr defaultSize="0" autoFill="0" autoPict="0">
                <anchor moveWithCells="1">
                  <from>
                    <xdr:col>2</xdr:col>
                    <xdr:colOff>28575</xdr:colOff>
                    <xdr:row>23</xdr:row>
                    <xdr:rowOff>0</xdr:rowOff>
                  </from>
                  <to>
                    <xdr:col>2</xdr:col>
                    <xdr:colOff>2057400</xdr:colOff>
                    <xdr:row>23</xdr:row>
                    <xdr:rowOff>257175</xdr:rowOff>
                  </to>
                </anchor>
              </controlPr>
            </control>
          </mc:Choice>
        </mc:AlternateContent>
        <mc:AlternateContent xmlns:mc="http://schemas.openxmlformats.org/markup-compatibility/2006">
          <mc:Choice Requires="x14">
            <control shapeId="2234" r:id="rId92" name="Group Box 186">
              <controlPr defaultSize="0" autoFill="0" autoPict="0">
                <anchor moveWithCells="1">
                  <from>
                    <xdr:col>2</xdr:col>
                    <xdr:colOff>76200</xdr:colOff>
                    <xdr:row>23</xdr:row>
                    <xdr:rowOff>0</xdr:rowOff>
                  </from>
                  <to>
                    <xdr:col>2</xdr:col>
                    <xdr:colOff>2124075</xdr:colOff>
                    <xdr:row>23</xdr:row>
                    <xdr:rowOff>238125</xdr:rowOff>
                  </to>
                </anchor>
              </controlPr>
            </control>
          </mc:Choice>
        </mc:AlternateContent>
        <mc:AlternateContent xmlns:mc="http://schemas.openxmlformats.org/markup-compatibility/2006">
          <mc:Choice Requires="x14">
            <control shapeId="2235" r:id="rId93" name="Group Box 187">
              <controlPr defaultSize="0" autoFill="0" autoPict="0">
                <anchor moveWithCells="1">
                  <from>
                    <xdr:col>2</xdr:col>
                    <xdr:colOff>9525</xdr:colOff>
                    <xdr:row>23</xdr:row>
                    <xdr:rowOff>0</xdr:rowOff>
                  </from>
                  <to>
                    <xdr:col>2</xdr:col>
                    <xdr:colOff>2619375</xdr:colOff>
                    <xdr:row>24</xdr:row>
                    <xdr:rowOff>57150</xdr:rowOff>
                  </to>
                </anchor>
              </controlPr>
            </control>
          </mc:Choice>
        </mc:AlternateContent>
        <mc:AlternateContent xmlns:mc="http://schemas.openxmlformats.org/markup-compatibility/2006">
          <mc:Choice Requires="x14">
            <control shapeId="2236" r:id="rId94" name="Group Box 188">
              <controlPr defaultSize="0" autoFill="0" autoPict="0">
                <anchor moveWithCells="1">
                  <from>
                    <xdr:col>2</xdr:col>
                    <xdr:colOff>0</xdr:colOff>
                    <xdr:row>23</xdr:row>
                    <xdr:rowOff>0</xdr:rowOff>
                  </from>
                  <to>
                    <xdr:col>3</xdr:col>
                    <xdr:colOff>0</xdr:colOff>
                    <xdr:row>23</xdr:row>
                    <xdr:rowOff>190500</xdr:rowOff>
                  </to>
                </anchor>
              </controlPr>
            </control>
          </mc:Choice>
        </mc:AlternateContent>
        <mc:AlternateContent xmlns:mc="http://schemas.openxmlformats.org/markup-compatibility/2006">
          <mc:Choice Requires="x14">
            <control shapeId="2237" r:id="rId95" name="Group Box 189">
              <controlPr defaultSize="0" autoFill="0" autoPict="0">
                <anchor moveWithCells="1">
                  <from>
                    <xdr:col>2</xdr:col>
                    <xdr:colOff>0</xdr:colOff>
                    <xdr:row>23</xdr:row>
                    <xdr:rowOff>0</xdr:rowOff>
                  </from>
                  <to>
                    <xdr:col>3</xdr:col>
                    <xdr:colOff>0</xdr:colOff>
                    <xdr:row>23</xdr:row>
                    <xdr:rowOff>190500</xdr:rowOff>
                  </to>
                </anchor>
              </controlPr>
            </control>
          </mc:Choice>
        </mc:AlternateContent>
        <mc:AlternateContent xmlns:mc="http://schemas.openxmlformats.org/markup-compatibility/2006">
          <mc:Choice Requires="x14">
            <control shapeId="2238" r:id="rId96" name="Group Box 190">
              <controlPr defaultSize="0" autoFill="0" autoPict="0">
                <anchor moveWithCells="1">
                  <from>
                    <xdr:col>2</xdr:col>
                    <xdr:colOff>38100</xdr:colOff>
                    <xdr:row>23</xdr:row>
                    <xdr:rowOff>0</xdr:rowOff>
                  </from>
                  <to>
                    <xdr:col>2</xdr:col>
                    <xdr:colOff>2600325</xdr:colOff>
                    <xdr:row>23</xdr:row>
                    <xdr:rowOff>257175</xdr:rowOff>
                  </to>
                </anchor>
              </controlPr>
            </control>
          </mc:Choice>
        </mc:AlternateContent>
        <mc:AlternateContent xmlns:mc="http://schemas.openxmlformats.org/markup-compatibility/2006">
          <mc:Choice Requires="x14">
            <control shapeId="2239" r:id="rId97" name="Group Box 191">
              <controlPr defaultSize="0" autoFill="0" autoPict="0">
                <anchor moveWithCells="1">
                  <from>
                    <xdr:col>2</xdr:col>
                    <xdr:colOff>28575</xdr:colOff>
                    <xdr:row>23</xdr:row>
                    <xdr:rowOff>0</xdr:rowOff>
                  </from>
                  <to>
                    <xdr:col>2</xdr:col>
                    <xdr:colOff>2057400</xdr:colOff>
                    <xdr:row>23</xdr:row>
                    <xdr:rowOff>257175</xdr:rowOff>
                  </to>
                </anchor>
              </controlPr>
            </control>
          </mc:Choice>
        </mc:AlternateContent>
        <mc:AlternateContent xmlns:mc="http://schemas.openxmlformats.org/markup-compatibility/2006">
          <mc:Choice Requires="x14">
            <control shapeId="2240" r:id="rId98" name="Group Box 192">
              <controlPr defaultSize="0" autoFill="0" autoPict="0">
                <anchor moveWithCells="1">
                  <from>
                    <xdr:col>2</xdr:col>
                    <xdr:colOff>76200</xdr:colOff>
                    <xdr:row>23</xdr:row>
                    <xdr:rowOff>0</xdr:rowOff>
                  </from>
                  <to>
                    <xdr:col>2</xdr:col>
                    <xdr:colOff>2124075</xdr:colOff>
                    <xdr:row>23</xdr:row>
                    <xdr:rowOff>257175</xdr:rowOff>
                  </to>
                </anchor>
              </controlPr>
            </control>
          </mc:Choice>
        </mc:AlternateContent>
        <mc:AlternateContent xmlns:mc="http://schemas.openxmlformats.org/markup-compatibility/2006">
          <mc:Choice Requires="x14">
            <control shapeId="2241" r:id="rId99" name="Group Box 193">
              <controlPr defaultSize="0" autoFill="0" autoPict="0">
                <anchor moveWithCells="1">
                  <from>
                    <xdr:col>2</xdr:col>
                    <xdr:colOff>9525</xdr:colOff>
                    <xdr:row>23</xdr:row>
                    <xdr:rowOff>0</xdr:rowOff>
                  </from>
                  <to>
                    <xdr:col>2</xdr:col>
                    <xdr:colOff>2619375</xdr:colOff>
                    <xdr:row>24</xdr:row>
                    <xdr:rowOff>57150</xdr:rowOff>
                  </to>
                </anchor>
              </controlPr>
            </control>
          </mc:Choice>
        </mc:AlternateContent>
        <mc:AlternateContent xmlns:mc="http://schemas.openxmlformats.org/markup-compatibility/2006">
          <mc:Choice Requires="x14">
            <control shapeId="2242" r:id="rId100" name="Group Box 194">
              <controlPr defaultSize="0" autoFill="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243" r:id="rId101" name="Group Box 195">
              <controlPr defaultSize="0" autoFill="0" autoPict="0" altText="">
                <anchor moveWithCells="1">
                  <from>
                    <xdr:col>2</xdr:col>
                    <xdr:colOff>0</xdr:colOff>
                    <xdr:row>23</xdr:row>
                    <xdr:rowOff>0</xdr:rowOff>
                  </from>
                  <to>
                    <xdr:col>3</xdr:col>
                    <xdr:colOff>9525</xdr:colOff>
                    <xdr:row>25</xdr:row>
                    <xdr:rowOff>209550</xdr:rowOff>
                  </to>
                </anchor>
              </controlPr>
            </control>
          </mc:Choice>
        </mc:AlternateContent>
        <mc:AlternateContent xmlns:mc="http://schemas.openxmlformats.org/markup-compatibility/2006">
          <mc:Choice Requires="x14">
            <control shapeId="2244" r:id="rId102" name="Group Box 196">
              <controlPr defaultSize="0" autoFill="0" autoPict="0">
                <anchor moveWithCells="1">
                  <from>
                    <xdr:col>2</xdr:col>
                    <xdr:colOff>0</xdr:colOff>
                    <xdr:row>21</xdr:row>
                    <xdr:rowOff>0</xdr:rowOff>
                  </from>
                  <to>
                    <xdr:col>3</xdr:col>
                    <xdr:colOff>0</xdr:colOff>
                    <xdr:row>21</xdr:row>
                    <xdr:rowOff>200025</xdr:rowOff>
                  </to>
                </anchor>
              </controlPr>
            </control>
          </mc:Choice>
        </mc:AlternateContent>
        <mc:AlternateContent xmlns:mc="http://schemas.openxmlformats.org/markup-compatibility/2006">
          <mc:Choice Requires="x14">
            <control shapeId="2245" r:id="rId103" name="Group Box 197">
              <controlPr defaultSize="0" autoFill="0" autoPict="0">
                <anchor moveWithCells="1">
                  <from>
                    <xdr:col>2</xdr:col>
                    <xdr:colOff>9525</xdr:colOff>
                    <xdr:row>21</xdr:row>
                    <xdr:rowOff>0</xdr:rowOff>
                  </from>
                  <to>
                    <xdr:col>3</xdr:col>
                    <xdr:colOff>0</xdr:colOff>
                    <xdr:row>22</xdr:row>
                    <xdr:rowOff>76200</xdr:rowOff>
                  </to>
                </anchor>
              </controlPr>
            </control>
          </mc:Choice>
        </mc:AlternateContent>
        <mc:AlternateContent xmlns:mc="http://schemas.openxmlformats.org/markup-compatibility/2006">
          <mc:Choice Requires="x14">
            <control shapeId="2246" r:id="rId104" name="Group Box 198">
              <controlPr defaultSize="0" autoFill="0" autoPict="0" altText="">
                <anchor moveWithCells="1">
                  <from>
                    <xdr:col>2</xdr:col>
                    <xdr:colOff>0</xdr:colOff>
                    <xdr:row>21</xdr:row>
                    <xdr:rowOff>0</xdr:rowOff>
                  </from>
                  <to>
                    <xdr:col>3</xdr:col>
                    <xdr:colOff>9525</xdr:colOff>
                    <xdr:row>22</xdr:row>
                    <xdr:rowOff>238125</xdr:rowOff>
                  </to>
                </anchor>
              </controlPr>
            </control>
          </mc:Choice>
        </mc:AlternateContent>
        <mc:AlternateContent xmlns:mc="http://schemas.openxmlformats.org/markup-compatibility/2006">
          <mc:Choice Requires="x14">
            <control shapeId="2247" r:id="rId105" name="Group Box 199">
              <controlPr defaultSize="0" autoFill="0" autoPict="0">
                <anchor moveWithCells="1">
                  <from>
                    <xdr:col>2</xdr:col>
                    <xdr:colOff>180975</xdr:colOff>
                    <xdr:row>21</xdr:row>
                    <xdr:rowOff>0</xdr:rowOff>
                  </from>
                  <to>
                    <xdr:col>2</xdr:col>
                    <xdr:colOff>1181100</xdr:colOff>
                    <xdr:row>21</xdr:row>
                    <xdr:rowOff>333375</xdr:rowOff>
                  </to>
                </anchor>
              </controlPr>
            </control>
          </mc:Choice>
        </mc:AlternateContent>
        <mc:AlternateContent xmlns:mc="http://schemas.openxmlformats.org/markup-compatibility/2006">
          <mc:Choice Requires="x14">
            <control shapeId="2248" r:id="rId106" name="Group Box 200">
              <controlPr defaultSize="0" autoFill="0" autoPict="0">
                <anchor moveWithCells="1">
                  <from>
                    <xdr:col>2</xdr:col>
                    <xdr:colOff>38100</xdr:colOff>
                    <xdr:row>21</xdr:row>
                    <xdr:rowOff>0</xdr:rowOff>
                  </from>
                  <to>
                    <xdr:col>2</xdr:col>
                    <xdr:colOff>2600325</xdr:colOff>
                    <xdr:row>21</xdr:row>
                    <xdr:rowOff>257175</xdr:rowOff>
                  </to>
                </anchor>
              </controlPr>
            </control>
          </mc:Choice>
        </mc:AlternateContent>
        <mc:AlternateContent xmlns:mc="http://schemas.openxmlformats.org/markup-compatibility/2006">
          <mc:Choice Requires="x14">
            <control shapeId="2249" r:id="rId107" name="Group Box 201">
              <controlPr defaultSize="0" autoFill="0" autoPict="0">
                <anchor moveWithCells="1">
                  <from>
                    <xdr:col>2</xdr:col>
                    <xdr:colOff>28575</xdr:colOff>
                    <xdr:row>21</xdr:row>
                    <xdr:rowOff>0</xdr:rowOff>
                  </from>
                  <to>
                    <xdr:col>2</xdr:col>
                    <xdr:colOff>2057400</xdr:colOff>
                    <xdr:row>21</xdr:row>
                    <xdr:rowOff>257175</xdr:rowOff>
                  </to>
                </anchor>
              </controlPr>
            </control>
          </mc:Choice>
        </mc:AlternateContent>
        <mc:AlternateContent xmlns:mc="http://schemas.openxmlformats.org/markup-compatibility/2006">
          <mc:Choice Requires="x14">
            <control shapeId="2250" r:id="rId108" name="Group Box 202">
              <controlPr defaultSize="0" autoFill="0" autoPict="0">
                <anchor moveWithCells="1">
                  <from>
                    <xdr:col>2</xdr:col>
                    <xdr:colOff>76200</xdr:colOff>
                    <xdr:row>21</xdr:row>
                    <xdr:rowOff>0</xdr:rowOff>
                  </from>
                  <to>
                    <xdr:col>2</xdr:col>
                    <xdr:colOff>2124075</xdr:colOff>
                    <xdr:row>21</xdr:row>
                    <xdr:rowOff>238125</xdr:rowOff>
                  </to>
                </anchor>
              </controlPr>
            </control>
          </mc:Choice>
        </mc:AlternateContent>
        <mc:AlternateContent xmlns:mc="http://schemas.openxmlformats.org/markup-compatibility/2006">
          <mc:Choice Requires="x14">
            <control shapeId="2251" r:id="rId109" name="Group Box 203">
              <controlPr defaultSize="0" autoFill="0" autoPict="0">
                <anchor moveWithCells="1">
                  <from>
                    <xdr:col>2</xdr:col>
                    <xdr:colOff>9525</xdr:colOff>
                    <xdr:row>21</xdr:row>
                    <xdr:rowOff>0</xdr:rowOff>
                  </from>
                  <to>
                    <xdr:col>2</xdr:col>
                    <xdr:colOff>2619375</xdr:colOff>
                    <xdr:row>21</xdr:row>
                    <xdr:rowOff>542925</xdr:rowOff>
                  </to>
                </anchor>
              </controlPr>
            </control>
          </mc:Choice>
        </mc:AlternateContent>
        <mc:AlternateContent xmlns:mc="http://schemas.openxmlformats.org/markup-compatibility/2006">
          <mc:Choice Requires="x14">
            <control shapeId="2252" r:id="rId110" name="Group Box 204">
              <controlPr defaultSize="0" autoFill="0" autoPict="0">
                <anchor moveWithCells="1">
                  <from>
                    <xdr:col>2</xdr:col>
                    <xdr:colOff>0</xdr:colOff>
                    <xdr:row>21</xdr:row>
                    <xdr:rowOff>0</xdr:rowOff>
                  </from>
                  <to>
                    <xdr:col>3</xdr:col>
                    <xdr:colOff>0</xdr:colOff>
                    <xdr:row>21</xdr:row>
                    <xdr:rowOff>190500</xdr:rowOff>
                  </to>
                </anchor>
              </controlPr>
            </control>
          </mc:Choice>
        </mc:AlternateContent>
        <mc:AlternateContent xmlns:mc="http://schemas.openxmlformats.org/markup-compatibility/2006">
          <mc:Choice Requires="x14">
            <control shapeId="2253" r:id="rId111" name="Group Box 205">
              <controlPr defaultSize="0" autoFill="0" autoPict="0">
                <anchor moveWithCells="1">
                  <from>
                    <xdr:col>2</xdr:col>
                    <xdr:colOff>0</xdr:colOff>
                    <xdr:row>21</xdr:row>
                    <xdr:rowOff>0</xdr:rowOff>
                  </from>
                  <to>
                    <xdr:col>3</xdr:col>
                    <xdr:colOff>0</xdr:colOff>
                    <xdr:row>21</xdr:row>
                    <xdr:rowOff>190500</xdr:rowOff>
                  </to>
                </anchor>
              </controlPr>
            </control>
          </mc:Choice>
        </mc:AlternateContent>
        <mc:AlternateContent xmlns:mc="http://schemas.openxmlformats.org/markup-compatibility/2006">
          <mc:Choice Requires="x14">
            <control shapeId="2254" r:id="rId112" name="Group Box 206">
              <controlPr defaultSize="0" autoFill="0" autoPict="0">
                <anchor moveWithCells="1">
                  <from>
                    <xdr:col>2</xdr:col>
                    <xdr:colOff>38100</xdr:colOff>
                    <xdr:row>21</xdr:row>
                    <xdr:rowOff>0</xdr:rowOff>
                  </from>
                  <to>
                    <xdr:col>2</xdr:col>
                    <xdr:colOff>2600325</xdr:colOff>
                    <xdr:row>21</xdr:row>
                    <xdr:rowOff>257175</xdr:rowOff>
                  </to>
                </anchor>
              </controlPr>
            </control>
          </mc:Choice>
        </mc:AlternateContent>
        <mc:AlternateContent xmlns:mc="http://schemas.openxmlformats.org/markup-compatibility/2006">
          <mc:Choice Requires="x14">
            <control shapeId="2255" r:id="rId113" name="Group Box 207">
              <controlPr defaultSize="0" autoFill="0" autoPict="0">
                <anchor moveWithCells="1">
                  <from>
                    <xdr:col>2</xdr:col>
                    <xdr:colOff>28575</xdr:colOff>
                    <xdr:row>21</xdr:row>
                    <xdr:rowOff>0</xdr:rowOff>
                  </from>
                  <to>
                    <xdr:col>2</xdr:col>
                    <xdr:colOff>2057400</xdr:colOff>
                    <xdr:row>21</xdr:row>
                    <xdr:rowOff>257175</xdr:rowOff>
                  </to>
                </anchor>
              </controlPr>
            </control>
          </mc:Choice>
        </mc:AlternateContent>
        <mc:AlternateContent xmlns:mc="http://schemas.openxmlformats.org/markup-compatibility/2006">
          <mc:Choice Requires="x14">
            <control shapeId="2256" r:id="rId114" name="Group Box 208">
              <controlPr defaultSize="0" autoFill="0" autoPict="0">
                <anchor moveWithCells="1">
                  <from>
                    <xdr:col>2</xdr:col>
                    <xdr:colOff>76200</xdr:colOff>
                    <xdr:row>21</xdr:row>
                    <xdr:rowOff>0</xdr:rowOff>
                  </from>
                  <to>
                    <xdr:col>2</xdr:col>
                    <xdr:colOff>2124075</xdr:colOff>
                    <xdr:row>21</xdr:row>
                    <xdr:rowOff>257175</xdr:rowOff>
                  </to>
                </anchor>
              </controlPr>
            </control>
          </mc:Choice>
        </mc:AlternateContent>
        <mc:AlternateContent xmlns:mc="http://schemas.openxmlformats.org/markup-compatibility/2006">
          <mc:Choice Requires="x14">
            <control shapeId="2257" r:id="rId115" name="Group Box 209">
              <controlPr defaultSize="0" autoFill="0" autoPict="0">
                <anchor moveWithCells="1">
                  <from>
                    <xdr:col>2</xdr:col>
                    <xdr:colOff>9525</xdr:colOff>
                    <xdr:row>21</xdr:row>
                    <xdr:rowOff>0</xdr:rowOff>
                  </from>
                  <to>
                    <xdr:col>2</xdr:col>
                    <xdr:colOff>2619375</xdr:colOff>
                    <xdr:row>21</xdr:row>
                    <xdr:rowOff>533400</xdr:rowOff>
                  </to>
                </anchor>
              </controlPr>
            </control>
          </mc:Choice>
        </mc:AlternateContent>
        <mc:AlternateContent xmlns:mc="http://schemas.openxmlformats.org/markup-compatibility/2006">
          <mc:Choice Requires="x14">
            <control shapeId="2258" r:id="rId116" name="Group Box 210">
              <controlPr defaultSize="0" autoFill="0" autoPict="0">
                <anchor moveWithCells="1">
                  <from>
                    <xdr:col>2</xdr:col>
                    <xdr:colOff>0</xdr:colOff>
                    <xdr:row>21</xdr:row>
                    <xdr:rowOff>0</xdr:rowOff>
                  </from>
                  <to>
                    <xdr:col>3</xdr:col>
                    <xdr:colOff>0</xdr:colOff>
                    <xdr:row>21</xdr:row>
                    <xdr:rowOff>200025</xdr:rowOff>
                  </to>
                </anchor>
              </controlPr>
            </control>
          </mc:Choice>
        </mc:AlternateContent>
        <mc:AlternateContent xmlns:mc="http://schemas.openxmlformats.org/markup-compatibility/2006">
          <mc:Choice Requires="x14">
            <control shapeId="2259" r:id="rId117" name="Group Box 211">
              <controlPr defaultSize="0" autoFill="0" autoPict="0" altText="">
                <anchor moveWithCells="1">
                  <from>
                    <xdr:col>2</xdr:col>
                    <xdr:colOff>0</xdr:colOff>
                    <xdr:row>21</xdr:row>
                    <xdr:rowOff>0</xdr:rowOff>
                  </from>
                  <to>
                    <xdr:col>3</xdr:col>
                    <xdr:colOff>9525</xdr:colOff>
                    <xdr:row>22</xdr:row>
                    <xdr:rowOff>238125</xdr:rowOff>
                  </to>
                </anchor>
              </controlPr>
            </control>
          </mc:Choice>
        </mc:AlternateContent>
        <mc:AlternateContent xmlns:mc="http://schemas.openxmlformats.org/markup-compatibility/2006">
          <mc:Choice Requires="x14">
            <control shapeId="2260" r:id="rId118" name="Group Box 212">
              <controlPr defaultSize="0" autoFill="0" autoPict="0">
                <anchor moveWithCells="1">
                  <from>
                    <xdr:col>2</xdr:col>
                    <xdr:colOff>9525</xdr:colOff>
                    <xdr:row>23</xdr:row>
                    <xdr:rowOff>0</xdr:rowOff>
                  </from>
                  <to>
                    <xdr:col>3</xdr:col>
                    <xdr:colOff>0</xdr:colOff>
                    <xdr:row>25</xdr:row>
                    <xdr:rowOff>57150</xdr:rowOff>
                  </to>
                </anchor>
              </controlPr>
            </control>
          </mc:Choice>
        </mc:AlternateContent>
        <mc:AlternateContent xmlns:mc="http://schemas.openxmlformats.org/markup-compatibility/2006">
          <mc:Choice Requires="x14">
            <control shapeId="2261" r:id="rId119" name="Group Box 213">
              <controlPr defaultSize="0" autoFill="0" autoPict="0" altText="">
                <anchor moveWithCells="1">
                  <from>
                    <xdr:col>2</xdr:col>
                    <xdr:colOff>0</xdr:colOff>
                    <xdr:row>23</xdr:row>
                    <xdr:rowOff>0</xdr:rowOff>
                  </from>
                  <to>
                    <xdr:col>3</xdr:col>
                    <xdr:colOff>9525</xdr:colOff>
                    <xdr:row>25</xdr:row>
                    <xdr:rowOff>209550</xdr:rowOff>
                  </to>
                </anchor>
              </controlPr>
            </control>
          </mc:Choice>
        </mc:AlternateContent>
        <mc:AlternateContent xmlns:mc="http://schemas.openxmlformats.org/markup-compatibility/2006">
          <mc:Choice Requires="x14">
            <control shapeId="2262" r:id="rId120" name="Group Box 214">
              <controlPr defaultSize="0" autoFill="0" autoPict="0">
                <anchor moveWithCells="1">
                  <from>
                    <xdr:col>2</xdr:col>
                    <xdr:colOff>9525</xdr:colOff>
                    <xdr:row>23</xdr:row>
                    <xdr:rowOff>0</xdr:rowOff>
                  </from>
                  <to>
                    <xdr:col>2</xdr:col>
                    <xdr:colOff>2619375</xdr:colOff>
                    <xdr:row>24</xdr:row>
                    <xdr:rowOff>57150</xdr:rowOff>
                  </to>
                </anchor>
              </controlPr>
            </control>
          </mc:Choice>
        </mc:AlternateContent>
        <mc:AlternateContent xmlns:mc="http://schemas.openxmlformats.org/markup-compatibility/2006">
          <mc:Choice Requires="x14">
            <control shapeId="2263" r:id="rId121" name="Group Box 215">
              <controlPr defaultSize="0" autoFill="0" autoPict="0">
                <anchor moveWithCells="1">
                  <from>
                    <xdr:col>2</xdr:col>
                    <xdr:colOff>9525</xdr:colOff>
                    <xdr:row>23</xdr:row>
                    <xdr:rowOff>0</xdr:rowOff>
                  </from>
                  <to>
                    <xdr:col>2</xdr:col>
                    <xdr:colOff>2619375</xdr:colOff>
                    <xdr:row>24</xdr:row>
                    <xdr:rowOff>57150</xdr:rowOff>
                  </to>
                </anchor>
              </controlPr>
            </control>
          </mc:Choice>
        </mc:AlternateContent>
        <mc:AlternateContent xmlns:mc="http://schemas.openxmlformats.org/markup-compatibility/2006">
          <mc:Choice Requires="x14">
            <control shapeId="2264" r:id="rId122" name="Group Box 216">
              <controlPr defaultSize="0" autoFill="0" autoPict="0" altText="">
                <anchor moveWithCells="1">
                  <from>
                    <xdr:col>2</xdr:col>
                    <xdr:colOff>0</xdr:colOff>
                    <xdr:row>23</xdr:row>
                    <xdr:rowOff>0</xdr:rowOff>
                  </from>
                  <to>
                    <xdr:col>3</xdr:col>
                    <xdr:colOff>9525</xdr:colOff>
                    <xdr:row>25</xdr:row>
                    <xdr:rowOff>209550</xdr:rowOff>
                  </to>
                </anchor>
              </controlPr>
            </control>
          </mc:Choice>
        </mc:AlternateContent>
        <mc:AlternateContent xmlns:mc="http://schemas.openxmlformats.org/markup-compatibility/2006">
          <mc:Choice Requires="x14">
            <control shapeId="2265" r:id="rId123" name="Group Box 217">
              <controlPr defaultSize="0" autoFill="0" autoPict="0">
                <anchor moveWithCells="1">
                  <from>
                    <xdr:col>2</xdr:col>
                    <xdr:colOff>76200</xdr:colOff>
                    <xdr:row>24</xdr:row>
                    <xdr:rowOff>0</xdr:rowOff>
                  </from>
                  <to>
                    <xdr:col>2</xdr:col>
                    <xdr:colOff>2124075</xdr:colOff>
                    <xdr:row>25</xdr:row>
                    <xdr:rowOff>66675</xdr:rowOff>
                  </to>
                </anchor>
              </controlPr>
            </control>
          </mc:Choice>
        </mc:AlternateContent>
        <mc:AlternateContent xmlns:mc="http://schemas.openxmlformats.org/markup-compatibility/2006">
          <mc:Choice Requires="x14">
            <control shapeId="2266" r:id="rId124" name="Group Box 218">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267" r:id="rId125" name="Group Box 219">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268" r:id="rId126" name="Group Box 220">
              <controlPr defaultSize="0" autoFill="0" autoPict="0">
                <anchor moveWithCells="1">
                  <from>
                    <xdr:col>2</xdr:col>
                    <xdr:colOff>38100</xdr:colOff>
                    <xdr:row>24</xdr:row>
                    <xdr:rowOff>0</xdr:rowOff>
                  </from>
                  <to>
                    <xdr:col>2</xdr:col>
                    <xdr:colOff>2600325</xdr:colOff>
                    <xdr:row>25</xdr:row>
                    <xdr:rowOff>66675</xdr:rowOff>
                  </to>
                </anchor>
              </controlPr>
            </control>
          </mc:Choice>
        </mc:AlternateContent>
        <mc:AlternateContent xmlns:mc="http://schemas.openxmlformats.org/markup-compatibility/2006">
          <mc:Choice Requires="x14">
            <control shapeId="2269" r:id="rId127" name="Group Box 221">
              <controlPr defaultSize="0" autoFill="0" autoPict="0">
                <anchor moveWithCells="1">
                  <from>
                    <xdr:col>2</xdr:col>
                    <xdr:colOff>9525</xdr:colOff>
                    <xdr:row>24</xdr:row>
                    <xdr:rowOff>0</xdr:rowOff>
                  </from>
                  <to>
                    <xdr:col>2</xdr:col>
                    <xdr:colOff>2619375</xdr:colOff>
                    <xdr:row>26</xdr:row>
                    <xdr:rowOff>28575</xdr:rowOff>
                  </to>
                </anchor>
              </controlPr>
            </control>
          </mc:Choice>
        </mc:AlternateContent>
        <mc:AlternateContent xmlns:mc="http://schemas.openxmlformats.org/markup-compatibility/2006">
          <mc:Choice Requires="x14">
            <control shapeId="2270" r:id="rId128" name="Group Box 222">
              <controlPr defaultSize="0" autoFill="0" autoPict="0">
                <anchor moveWithCells="1">
                  <from>
                    <xdr:col>2</xdr:col>
                    <xdr:colOff>76200</xdr:colOff>
                    <xdr:row>24</xdr:row>
                    <xdr:rowOff>0</xdr:rowOff>
                  </from>
                  <to>
                    <xdr:col>2</xdr:col>
                    <xdr:colOff>2124075</xdr:colOff>
                    <xdr:row>25</xdr:row>
                    <xdr:rowOff>66675</xdr:rowOff>
                  </to>
                </anchor>
              </controlPr>
            </control>
          </mc:Choice>
        </mc:AlternateContent>
        <mc:AlternateContent xmlns:mc="http://schemas.openxmlformats.org/markup-compatibility/2006">
          <mc:Choice Requires="x14">
            <control shapeId="2271" r:id="rId129" name="Group Box 223">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272" r:id="rId130" name="Group Box 224">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273" r:id="rId131" name="Group Box 225">
              <controlPr defaultSize="0" autoFill="0" autoPict="0">
                <anchor moveWithCells="1">
                  <from>
                    <xdr:col>2</xdr:col>
                    <xdr:colOff>38100</xdr:colOff>
                    <xdr:row>24</xdr:row>
                    <xdr:rowOff>0</xdr:rowOff>
                  </from>
                  <to>
                    <xdr:col>2</xdr:col>
                    <xdr:colOff>2600325</xdr:colOff>
                    <xdr:row>25</xdr:row>
                    <xdr:rowOff>66675</xdr:rowOff>
                  </to>
                </anchor>
              </controlPr>
            </control>
          </mc:Choice>
        </mc:AlternateContent>
        <mc:AlternateContent xmlns:mc="http://schemas.openxmlformats.org/markup-compatibility/2006">
          <mc:Choice Requires="x14">
            <control shapeId="2274" r:id="rId132" name="Group Box 226">
              <controlPr defaultSize="0" autoFill="0" autoPict="0">
                <anchor moveWithCells="1">
                  <from>
                    <xdr:col>2</xdr:col>
                    <xdr:colOff>9525</xdr:colOff>
                    <xdr:row>24</xdr:row>
                    <xdr:rowOff>0</xdr:rowOff>
                  </from>
                  <to>
                    <xdr:col>2</xdr:col>
                    <xdr:colOff>2619375</xdr:colOff>
                    <xdr:row>26</xdr:row>
                    <xdr:rowOff>28575</xdr:rowOff>
                  </to>
                </anchor>
              </controlPr>
            </control>
          </mc:Choice>
        </mc:AlternateContent>
        <mc:AlternateContent xmlns:mc="http://schemas.openxmlformats.org/markup-compatibility/2006">
          <mc:Choice Requires="x14">
            <control shapeId="2275" r:id="rId133" name="Group Box 227">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276" r:id="rId134" name="Group Box 228">
              <controlPr defaultSize="0" autoFill="0" autoPict="0">
                <anchor moveWithCells="1">
                  <from>
                    <xdr:col>2</xdr:col>
                    <xdr:colOff>9525</xdr:colOff>
                    <xdr:row>24</xdr:row>
                    <xdr:rowOff>0</xdr:rowOff>
                  </from>
                  <to>
                    <xdr:col>3</xdr:col>
                    <xdr:colOff>0</xdr:colOff>
                    <xdr:row>27</xdr:row>
                    <xdr:rowOff>38100</xdr:rowOff>
                  </to>
                </anchor>
              </controlPr>
            </control>
          </mc:Choice>
        </mc:AlternateContent>
        <mc:AlternateContent xmlns:mc="http://schemas.openxmlformats.org/markup-compatibility/2006">
          <mc:Choice Requires="x14">
            <control shapeId="2277" r:id="rId135" name="Group Box 229">
              <controlPr defaultSize="0" autoFill="0" autoPict="0" altText="">
                <anchor moveWithCells="1">
                  <from>
                    <xdr:col>2</xdr:col>
                    <xdr:colOff>0</xdr:colOff>
                    <xdr:row>24</xdr:row>
                    <xdr:rowOff>0</xdr:rowOff>
                  </from>
                  <to>
                    <xdr:col>3</xdr:col>
                    <xdr:colOff>9525</xdr:colOff>
                    <xdr:row>28</xdr:row>
                    <xdr:rowOff>9525</xdr:rowOff>
                  </to>
                </anchor>
              </controlPr>
            </control>
          </mc:Choice>
        </mc:AlternateContent>
        <mc:AlternateContent xmlns:mc="http://schemas.openxmlformats.org/markup-compatibility/2006">
          <mc:Choice Requires="x14">
            <control shapeId="2278" r:id="rId136" name="Group Box 230">
              <controlPr defaultSize="0" autoFill="0" autoPict="0">
                <anchor moveWithCells="1">
                  <from>
                    <xdr:col>2</xdr:col>
                    <xdr:colOff>180975</xdr:colOff>
                    <xdr:row>24</xdr:row>
                    <xdr:rowOff>0</xdr:rowOff>
                  </from>
                  <to>
                    <xdr:col>2</xdr:col>
                    <xdr:colOff>1181100</xdr:colOff>
                    <xdr:row>25</xdr:row>
                    <xdr:rowOff>142875</xdr:rowOff>
                  </to>
                </anchor>
              </controlPr>
            </control>
          </mc:Choice>
        </mc:AlternateContent>
        <mc:AlternateContent xmlns:mc="http://schemas.openxmlformats.org/markup-compatibility/2006">
          <mc:Choice Requires="x14">
            <control shapeId="2279" r:id="rId137" name="Group Box 231">
              <controlPr defaultSize="0" autoFill="0" autoPict="0">
                <anchor moveWithCells="1">
                  <from>
                    <xdr:col>2</xdr:col>
                    <xdr:colOff>38100</xdr:colOff>
                    <xdr:row>24</xdr:row>
                    <xdr:rowOff>0</xdr:rowOff>
                  </from>
                  <to>
                    <xdr:col>2</xdr:col>
                    <xdr:colOff>2600325</xdr:colOff>
                    <xdr:row>25</xdr:row>
                    <xdr:rowOff>66675</xdr:rowOff>
                  </to>
                </anchor>
              </controlPr>
            </control>
          </mc:Choice>
        </mc:AlternateContent>
        <mc:AlternateContent xmlns:mc="http://schemas.openxmlformats.org/markup-compatibility/2006">
          <mc:Choice Requires="x14">
            <control shapeId="2280" r:id="rId138" name="Group Box 232">
              <controlPr defaultSize="0" autoFill="0" autoPict="0">
                <anchor moveWithCells="1">
                  <from>
                    <xdr:col>2</xdr:col>
                    <xdr:colOff>28575</xdr:colOff>
                    <xdr:row>24</xdr:row>
                    <xdr:rowOff>0</xdr:rowOff>
                  </from>
                  <to>
                    <xdr:col>2</xdr:col>
                    <xdr:colOff>2057400</xdr:colOff>
                    <xdr:row>25</xdr:row>
                    <xdr:rowOff>66675</xdr:rowOff>
                  </to>
                </anchor>
              </controlPr>
            </control>
          </mc:Choice>
        </mc:AlternateContent>
        <mc:AlternateContent xmlns:mc="http://schemas.openxmlformats.org/markup-compatibility/2006">
          <mc:Choice Requires="x14">
            <control shapeId="2281" r:id="rId139" name="Group Box 233">
              <controlPr defaultSize="0" autoFill="0" autoPict="0">
                <anchor moveWithCells="1">
                  <from>
                    <xdr:col>2</xdr:col>
                    <xdr:colOff>76200</xdr:colOff>
                    <xdr:row>24</xdr:row>
                    <xdr:rowOff>0</xdr:rowOff>
                  </from>
                  <to>
                    <xdr:col>2</xdr:col>
                    <xdr:colOff>2124075</xdr:colOff>
                    <xdr:row>25</xdr:row>
                    <xdr:rowOff>47625</xdr:rowOff>
                  </to>
                </anchor>
              </controlPr>
            </control>
          </mc:Choice>
        </mc:AlternateContent>
        <mc:AlternateContent xmlns:mc="http://schemas.openxmlformats.org/markup-compatibility/2006">
          <mc:Choice Requires="x14">
            <control shapeId="2282" r:id="rId140" name="Group Box 234">
              <controlPr defaultSize="0" autoFill="0" autoPict="0">
                <anchor moveWithCells="1">
                  <from>
                    <xdr:col>2</xdr:col>
                    <xdr:colOff>9525</xdr:colOff>
                    <xdr:row>24</xdr:row>
                    <xdr:rowOff>0</xdr:rowOff>
                  </from>
                  <to>
                    <xdr:col>2</xdr:col>
                    <xdr:colOff>2619375</xdr:colOff>
                    <xdr:row>26</xdr:row>
                    <xdr:rowOff>38100</xdr:rowOff>
                  </to>
                </anchor>
              </controlPr>
            </control>
          </mc:Choice>
        </mc:AlternateContent>
        <mc:AlternateContent xmlns:mc="http://schemas.openxmlformats.org/markup-compatibility/2006">
          <mc:Choice Requires="x14">
            <control shapeId="2283" r:id="rId141" name="Group Box 235">
              <controlPr defaultSize="0" autoFill="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284" r:id="rId142" name="Group Box 236">
              <controlPr defaultSize="0" autoFill="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285" r:id="rId143" name="Group Box 237">
              <controlPr defaultSize="0" autoFill="0" autoPict="0">
                <anchor moveWithCells="1">
                  <from>
                    <xdr:col>2</xdr:col>
                    <xdr:colOff>38100</xdr:colOff>
                    <xdr:row>24</xdr:row>
                    <xdr:rowOff>0</xdr:rowOff>
                  </from>
                  <to>
                    <xdr:col>2</xdr:col>
                    <xdr:colOff>2600325</xdr:colOff>
                    <xdr:row>25</xdr:row>
                    <xdr:rowOff>66675</xdr:rowOff>
                  </to>
                </anchor>
              </controlPr>
            </control>
          </mc:Choice>
        </mc:AlternateContent>
        <mc:AlternateContent xmlns:mc="http://schemas.openxmlformats.org/markup-compatibility/2006">
          <mc:Choice Requires="x14">
            <control shapeId="2286" r:id="rId144" name="Group Box 238">
              <controlPr defaultSize="0" autoFill="0" autoPict="0">
                <anchor moveWithCells="1">
                  <from>
                    <xdr:col>2</xdr:col>
                    <xdr:colOff>28575</xdr:colOff>
                    <xdr:row>24</xdr:row>
                    <xdr:rowOff>0</xdr:rowOff>
                  </from>
                  <to>
                    <xdr:col>2</xdr:col>
                    <xdr:colOff>2057400</xdr:colOff>
                    <xdr:row>25</xdr:row>
                    <xdr:rowOff>66675</xdr:rowOff>
                  </to>
                </anchor>
              </controlPr>
            </control>
          </mc:Choice>
        </mc:AlternateContent>
        <mc:AlternateContent xmlns:mc="http://schemas.openxmlformats.org/markup-compatibility/2006">
          <mc:Choice Requires="x14">
            <control shapeId="2287" r:id="rId145" name="Group Box 239">
              <controlPr defaultSize="0" autoFill="0" autoPict="0">
                <anchor moveWithCells="1">
                  <from>
                    <xdr:col>2</xdr:col>
                    <xdr:colOff>76200</xdr:colOff>
                    <xdr:row>24</xdr:row>
                    <xdr:rowOff>0</xdr:rowOff>
                  </from>
                  <to>
                    <xdr:col>2</xdr:col>
                    <xdr:colOff>2124075</xdr:colOff>
                    <xdr:row>25</xdr:row>
                    <xdr:rowOff>66675</xdr:rowOff>
                  </to>
                </anchor>
              </controlPr>
            </control>
          </mc:Choice>
        </mc:AlternateContent>
        <mc:AlternateContent xmlns:mc="http://schemas.openxmlformats.org/markup-compatibility/2006">
          <mc:Choice Requires="x14">
            <control shapeId="2288" r:id="rId146" name="Group Box 240">
              <controlPr defaultSize="0" autoFill="0" autoPict="0">
                <anchor moveWithCells="1">
                  <from>
                    <xdr:col>2</xdr:col>
                    <xdr:colOff>9525</xdr:colOff>
                    <xdr:row>24</xdr:row>
                    <xdr:rowOff>0</xdr:rowOff>
                  </from>
                  <to>
                    <xdr:col>2</xdr:col>
                    <xdr:colOff>2619375</xdr:colOff>
                    <xdr:row>26</xdr:row>
                    <xdr:rowOff>28575</xdr:rowOff>
                  </to>
                </anchor>
              </controlPr>
            </control>
          </mc:Choice>
        </mc:AlternateContent>
        <mc:AlternateContent xmlns:mc="http://schemas.openxmlformats.org/markup-compatibility/2006">
          <mc:Choice Requires="x14">
            <control shapeId="2289" r:id="rId147" name="Group Box 241">
              <controlPr defaultSize="0" autoFill="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290" r:id="rId148" name="Group Box 242">
              <controlPr defaultSize="0" autoFill="0" autoPict="0" altText="">
                <anchor moveWithCells="1">
                  <from>
                    <xdr:col>2</xdr:col>
                    <xdr:colOff>0</xdr:colOff>
                    <xdr:row>24</xdr:row>
                    <xdr:rowOff>0</xdr:rowOff>
                  </from>
                  <to>
                    <xdr:col>3</xdr:col>
                    <xdr:colOff>9525</xdr:colOff>
                    <xdr:row>28</xdr:row>
                    <xdr:rowOff>9525</xdr:rowOff>
                  </to>
                </anchor>
              </controlPr>
            </control>
          </mc:Choice>
        </mc:AlternateContent>
        <mc:AlternateContent xmlns:mc="http://schemas.openxmlformats.org/markup-compatibility/2006">
          <mc:Choice Requires="x14">
            <control shapeId="2291" r:id="rId149" name="Group Box 243">
              <controlPr defaultSize="0" autoFill="0" autoPict="0" altText="">
                <anchor moveWithCells="1">
                  <from>
                    <xdr:col>2</xdr:col>
                    <xdr:colOff>0</xdr:colOff>
                    <xdr:row>22</xdr:row>
                    <xdr:rowOff>0</xdr:rowOff>
                  </from>
                  <to>
                    <xdr:col>3</xdr:col>
                    <xdr:colOff>9525</xdr:colOff>
                    <xdr:row>24</xdr:row>
                    <xdr:rowOff>95250</xdr:rowOff>
                  </to>
                </anchor>
              </controlPr>
            </control>
          </mc:Choice>
        </mc:AlternateContent>
        <mc:AlternateContent xmlns:mc="http://schemas.openxmlformats.org/markup-compatibility/2006">
          <mc:Choice Requires="x14">
            <control shapeId="2292" r:id="rId150" name="Group Box 244">
              <controlPr defaultSize="0" autoFill="0" autoPict="0" altText="">
                <anchor moveWithCells="1">
                  <from>
                    <xdr:col>2</xdr:col>
                    <xdr:colOff>0</xdr:colOff>
                    <xdr:row>22</xdr:row>
                    <xdr:rowOff>0</xdr:rowOff>
                  </from>
                  <to>
                    <xdr:col>3</xdr:col>
                    <xdr:colOff>9525</xdr:colOff>
                    <xdr:row>24</xdr:row>
                    <xdr:rowOff>95250</xdr:rowOff>
                  </to>
                </anchor>
              </controlPr>
            </control>
          </mc:Choice>
        </mc:AlternateContent>
        <mc:AlternateContent xmlns:mc="http://schemas.openxmlformats.org/markup-compatibility/2006">
          <mc:Choice Requires="x14">
            <control shapeId="2293" r:id="rId151" name="Group Box 245">
              <controlPr defaultSize="0" autoFill="0" autoPict="0" altText="">
                <anchor moveWithCells="1">
                  <from>
                    <xdr:col>2</xdr:col>
                    <xdr:colOff>0</xdr:colOff>
                    <xdr:row>23</xdr:row>
                    <xdr:rowOff>0</xdr:rowOff>
                  </from>
                  <to>
                    <xdr:col>3</xdr:col>
                    <xdr:colOff>9525</xdr:colOff>
                    <xdr:row>25</xdr:row>
                    <xdr:rowOff>209550</xdr:rowOff>
                  </to>
                </anchor>
              </controlPr>
            </control>
          </mc:Choice>
        </mc:AlternateContent>
        <mc:AlternateContent xmlns:mc="http://schemas.openxmlformats.org/markup-compatibility/2006">
          <mc:Choice Requires="x14">
            <control shapeId="2294" r:id="rId152" name="Group Box 246">
              <controlPr defaultSize="0" autoFill="0" autoPict="0" altText="">
                <anchor moveWithCells="1">
                  <from>
                    <xdr:col>2</xdr:col>
                    <xdr:colOff>0</xdr:colOff>
                    <xdr:row>23</xdr:row>
                    <xdr:rowOff>0</xdr:rowOff>
                  </from>
                  <to>
                    <xdr:col>3</xdr:col>
                    <xdr:colOff>9525</xdr:colOff>
                    <xdr:row>25</xdr:row>
                    <xdr:rowOff>209550</xdr:rowOff>
                  </to>
                </anchor>
              </controlPr>
            </control>
          </mc:Choice>
        </mc:AlternateContent>
        <mc:AlternateContent xmlns:mc="http://schemas.openxmlformats.org/markup-compatibility/2006">
          <mc:Choice Requires="x14">
            <control shapeId="2295" r:id="rId153" name="Group Box 247">
              <controlPr defaultSize="0" autoFill="0" autoPict="0" altText="">
                <anchor moveWithCells="1">
                  <from>
                    <xdr:col>2</xdr:col>
                    <xdr:colOff>0</xdr:colOff>
                    <xdr:row>24</xdr:row>
                    <xdr:rowOff>0</xdr:rowOff>
                  </from>
                  <to>
                    <xdr:col>3</xdr:col>
                    <xdr:colOff>9525</xdr:colOff>
                    <xdr:row>28</xdr:row>
                    <xdr:rowOff>9525</xdr:rowOff>
                  </to>
                </anchor>
              </controlPr>
            </control>
          </mc:Choice>
        </mc:AlternateContent>
        <mc:AlternateContent xmlns:mc="http://schemas.openxmlformats.org/markup-compatibility/2006">
          <mc:Choice Requires="x14">
            <control shapeId="2296" r:id="rId154" name="Group Box 248">
              <controlPr defaultSize="0" autoFill="0" autoPict="0" altText="">
                <anchor moveWithCells="1">
                  <from>
                    <xdr:col>2</xdr:col>
                    <xdr:colOff>0</xdr:colOff>
                    <xdr:row>24</xdr:row>
                    <xdr:rowOff>0</xdr:rowOff>
                  </from>
                  <to>
                    <xdr:col>3</xdr:col>
                    <xdr:colOff>9525</xdr:colOff>
                    <xdr:row>28</xdr:row>
                    <xdr:rowOff>9525</xdr:rowOff>
                  </to>
                </anchor>
              </controlPr>
            </control>
          </mc:Choice>
        </mc:AlternateContent>
        <mc:AlternateContent xmlns:mc="http://schemas.openxmlformats.org/markup-compatibility/2006">
          <mc:Choice Requires="x14">
            <control shapeId="2297" r:id="rId155" name="Group Box 249">
              <controlPr defaultSize="0" autoFill="0" autoPict="0" altText="">
                <anchor moveWithCells="1">
                  <from>
                    <xdr:col>2</xdr:col>
                    <xdr:colOff>0</xdr:colOff>
                    <xdr:row>25</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2298" r:id="rId156" name="Group Box 250">
              <controlPr defaultSize="0" autoFill="0" autoPict="0" altText="">
                <anchor moveWithCells="1">
                  <from>
                    <xdr:col>2</xdr:col>
                    <xdr:colOff>0</xdr:colOff>
                    <xdr:row>25</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2299" r:id="rId157" name="Group Box 251">
              <controlPr defaultSize="0" autoFill="0" autoPict="0" altText="">
                <anchor moveWithCells="1">
                  <from>
                    <xdr:col>2</xdr:col>
                    <xdr:colOff>0</xdr:colOff>
                    <xdr:row>26</xdr:row>
                    <xdr:rowOff>0</xdr:rowOff>
                  </from>
                  <to>
                    <xdr:col>3</xdr:col>
                    <xdr:colOff>9525</xdr:colOff>
                    <xdr:row>30</xdr:row>
                    <xdr:rowOff>123825</xdr:rowOff>
                  </to>
                </anchor>
              </controlPr>
            </control>
          </mc:Choice>
        </mc:AlternateContent>
        <mc:AlternateContent xmlns:mc="http://schemas.openxmlformats.org/markup-compatibility/2006">
          <mc:Choice Requires="x14">
            <control shapeId="2300" r:id="rId158" name="Group Box 252">
              <controlPr defaultSize="0" autoFill="0" autoPict="0" altText="">
                <anchor moveWithCells="1">
                  <from>
                    <xdr:col>2</xdr:col>
                    <xdr:colOff>0</xdr:colOff>
                    <xdr:row>26</xdr:row>
                    <xdr:rowOff>0</xdr:rowOff>
                  </from>
                  <to>
                    <xdr:col>3</xdr:col>
                    <xdr:colOff>9525</xdr:colOff>
                    <xdr:row>30</xdr:row>
                    <xdr:rowOff>123825</xdr:rowOff>
                  </to>
                </anchor>
              </controlPr>
            </control>
          </mc:Choice>
        </mc:AlternateContent>
        <mc:AlternateContent xmlns:mc="http://schemas.openxmlformats.org/markup-compatibility/2006">
          <mc:Choice Requires="x14">
            <control shapeId="2301" r:id="rId159" name="Group Box 253">
              <controlPr defaultSize="0" autoFill="0" autoPict="0" altText="">
                <anchor moveWithCells="1">
                  <from>
                    <xdr:col>0</xdr:col>
                    <xdr:colOff>0</xdr:colOff>
                    <xdr:row>26</xdr:row>
                    <xdr:rowOff>0</xdr:rowOff>
                  </from>
                  <to>
                    <xdr:col>1</xdr:col>
                    <xdr:colOff>2638425</xdr:colOff>
                    <xdr:row>30</xdr:row>
                    <xdr:rowOff>123825</xdr:rowOff>
                  </to>
                </anchor>
              </controlPr>
            </control>
          </mc:Choice>
        </mc:AlternateContent>
        <mc:AlternateContent xmlns:mc="http://schemas.openxmlformats.org/markup-compatibility/2006">
          <mc:Choice Requires="x14">
            <control shapeId="2302" r:id="rId160" name="Group Box 254">
              <controlPr defaultSize="0" autoFill="0" autoPict="0" altText="">
                <anchor moveWithCells="1">
                  <from>
                    <xdr:col>0</xdr:col>
                    <xdr:colOff>0</xdr:colOff>
                    <xdr:row>26</xdr:row>
                    <xdr:rowOff>0</xdr:rowOff>
                  </from>
                  <to>
                    <xdr:col>1</xdr:col>
                    <xdr:colOff>2638425</xdr:colOff>
                    <xdr:row>30</xdr:row>
                    <xdr:rowOff>123825</xdr:rowOff>
                  </to>
                </anchor>
              </controlPr>
            </control>
          </mc:Choice>
        </mc:AlternateContent>
        <mc:AlternateContent xmlns:mc="http://schemas.openxmlformats.org/markup-compatibility/2006">
          <mc:Choice Requires="x14">
            <control shapeId="2303" r:id="rId161" name="Group Box 255">
              <controlPr defaultSize="0" autoFill="0" autoPict="0" altText="">
                <anchor moveWithCells="1">
                  <from>
                    <xdr:col>0</xdr:col>
                    <xdr:colOff>0</xdr:colOff>
                    <xdr:row>26</xdr:row>
                    <xdr:rowOff>0</xdr:rowOff>
                  </from>
                  <to>
                    <xdr:col>1</xdr:col>
                    <xdr:colOff>2638425</xdr:colOff>
                    <xdr:row>30</xdr:row>
                    <xdr:rowOff>123825</xdr:rowOff>
                  </to>
                </anchor>
              </controlPr>
            </control>
          </mc:Choice>
        </mc:AlternateContent>
        <mc:AlternateContent xmlns:mc="http://schemas.openxmlformats.org/markup-compatibility/2006">
          <mc:Choice Requires="x14">
            <control shapeId="2304" r:id="rId162" name="Group Box 256">
              <controlPr defaultSize="0" autoFill="0" autoPict="0" altText="">
                <anchor moveWithCells="1">
                  <from>
                    <xdr:col>0</xdr:col>
                    <xdr:colOff>0</xdr:colOff>
                    <xdr:row>26</xdr:row>
                    <xdr:rowOff>0</xdr:rowOff>
                  </from>
                  <to>
                    <xdr:col>1</xdr:col>
                    <xdr:colOff>2638425</xdr:colOff>
                    <xdr:row>30</xdr:row>
                    <xdr:rowOff>123825</xdr:rowOff>
                  </to>
                </anchor>
              </controlPr>
            </control>
          </mc:Choice>
        </mc:AlternateContent>
        <mc:AlternateContent xmlns:mc="http://schemas.openxmlformats.org/markup-compatibility/2006">
          <mc:Choice Requires="x14">
            <control shapeId="2307" r:id="rId163" name="Group Box 259">
              <controlPr defaultSize="0" autoFill="0" autoPict="0">
                <anchor moveWithCells="1">
                  <from>
                    <xdr:col>2</xdr:col>
                    <xdr:colOff>200025</xdr:colOff>
                    <xdr:row>28</xdr:row>
                    <xdr:rowOff>0</xdr:rowOff>
                  </from>
                  <to>
                    <xdr:col>2</xdr:col>
                    <xdr:colOff>1247775</xdr:colOff>
                    <xdr:row>31</xdr:row>
                    <xdr:rowOff>9525</xdr:rowOff>
                  </to>
                </anchor>
              </controlPr>
            </control>
          </mc:Choice>
        </mc:AlternateContent>
        <mc:AlternateContent xmlns:mc="http://schemas.openxmlformats.org/markup-compatibility/2006">
          <mc:Choice Requires="x14">
            <control shapeId="2308" r:id="rId164" name="Group Box 260">
              <controlPr defaultSize="0" autoFill="0" autoPict="0">
                <anchor moveWithCells="1">
                  <from>
                    <xdr:col>2</xdr:col>
                    <xdr:colOff>0</xdr:colOff>
                    <xdr:row>28</xdr:row>
                    <xdr:rowOff>0</xdr:rowOff>
                  </from>
                  <to>
                    <xdr:col>3</xdr:col>
                    <xdr:colOff>0</xdr:colOff>
                    <xdr:row>29</xdr:row>
                    <xdr:rowOff>47625</xdr:rowOff>
                  </to>
                </anchor>
              </controlPr>
            </control>
          </mc:Choice>
        </mc:AlternateContent>
        <mc:AlternateContent xmlns:mc="http://schemas.openxmlformats.org/markup-compatibility/2006">
          <mc:Choice Requires="x14">
            <control shapeId="2309" r:id="rId165" name="Group Box 261">
              <controlPr defaultSize="0" autoFill="0" autoPict="0">
                <anchor moveWithCells="1">
                  <from>
                    <xdr:col>2</xdr:col>
                    <xdr:colOff>9525</xdr:colOff>
                    <xdr:row>28</xdr:row>
                    <xdr:rowOff>0</xdr:rowOff>
                  </from>
                  <to>
                    <xdr:col>3</xdr:col>
                    <xdr:colOff>0</xdr:colOff>
                    <xdr:row>33</xdr:row>
                    <xdr:rowOff>47625</xdr:rowOff>
                  </to>
                </anchor>
              </controlPr>
            </control>
          </mc:Choice>
        </mc:AlternateContent>
        <mc:AlternateContent xmlns:mc="http://schemas.openxmlformats.org/markup-compatibility/2006">
          <mc:Choice Requires="x14">
            <control shapeId="2310" r:id="rId166" name="Group Box 262">
              <controlPr defaultSize="0" autoFill="0" autoPict="0">
                <anchor moveWithCells="1">
                  <from>
                    <xdr:col>2</xdr:col>
                    <xdr:colOff>180975</xdr:colOff>
                    <xdr:row>28</xdr:row>
                    <xdr:rowOff>0</xdr:rowOff>
                  </from>
                  <to>
                    <xdr:col>2</xdr:col>
                    <xdr:colOff>1181100</xdr:colOff>
                    <xdr:row>31</xdr:row>
                    <xdr:rowOff>47625</xdr:rowOff>
                  </to>
                </anchor>
              </controlPr>
            </control>
          </mc:Choice>
        </mc:AlternateContent>
        <mc:AlternateContent xmlns:mc="http://schemas.openxmlformats.org/markup-compatibility/2006">
          <mc:Choice Requires="x14">
            <control shapeId="2311" r:id="rId167" name="Group Box 263">
              <controlPr defaultSize="0" autoFill="0" autoPict="0">
                <anchor moveWithCells="1">
                  <from>
                    <xdr:col>2</xdr:col>
                    <xdr:colOff>38100</xdr:colOff>
                    <xdr:row>28</xdr:row>
                    <xdr:rowOff>0</xdr:rowOff>
                  </from>
                  <to>
                    <xdr:col>2</xdr:col>
                    <xdr:colOff>2600325</xdr:colOff>
                    <xdr:row>30</xdr:row>
                    <xdr:rowOff>28575</xdr:rowOff>
                  </to>
                </anchor>
              </controlPr>
            </control>
          </mc:Choice>
        </mc:AlternateContent>
        <mc:AlternateContent xmlns:mc="http://schemas.openxmlformats.org/markup-compatibility/2006">
          <mc:Choice Requires="x14">
            <control shapeId="2312" r:id="rId168" name="Group Box 264">
              <controlPr defaultSize="0" autoFill="0" autoPict="0">
                <anchor moveWithCells="1">
                  <from>
                    <xdr:col>2</xdr:col>
                    <xdr:colOff>28575</xdr:colOff>
                    <xdr:row>28</xdr:row>
                    <xdr:rowOff>0</xdr:rowOff>
                  </from>
                  <to>
                    <xdr:col>2</xdr:col>
                    <xdr:colOff>2057400</xdr:colOff>
                    <xdr:row>30</xdr:row>
                    <xdr:rowOff>28575</xdr:rowOff>
                  </to>
                </anchor>
              </controlPr>
            </control>
          </mc:Choice>
        </mc:AlternateContent>
        <mc:AlternateContent xmlns:mc="http://schemas.openxmlformats.org/markup-compatibility/2006">
          <mc:Choice Requires="x14">
            <control shapeId="2313" r:id="rId169" name="Group Box 265">
              <controlPr defaultSize="0" autoFill="0" autoPict="0">
                <anchor moveWithCells="1">
                  <from>
                    <xdr:col>2</xdr:col>
                    <xdr:colOff>76200</xdr:colOff>
                    <xdr:row>28</xdr:row>
                    <xdr:rowOff>0</xdr:rowOff>
                  </from>
                  <to>
                    <xdr:col>2</xdr:col>
                    <xdr:colOff>2124075</xdr:colOff>
                    <xdr:row>30</xdr:row>
                    <xdr:rowOff>28575</xdr:rowOff>
                  </to>
                </anchor>
              </controlPr>
            </control>
          </mc:Choice>
        </mc:AlternateContent>
        <mc:AlternateContent xmlns:mc="http://schemas.openxmlformats.org/markup-compatibility/2006">
          <mc:Choice Requires="x14">
            <control shapeId="2314" r:id="rId170" name="Group Box 266">
              <controlPr defaultSize="0" autoFill="0" autoPict="0">
                <anchor moveWithCells="1">
                  <from>
                    <xdr:col>2</xdr:col>
                    <xdr:colOff>9525</xdr:colOff>
                    <xdr:row>28</xdr:row>
                    <xdr:rowOff>0</xdr:rowOff>
                  </from>
                  <to>
                    <xdr:col>2</xdr:col>
                    <xdr:colOff>2619375</xdr:colOff>
                    <xdr:row>32</xdr:row>
                    <xdr:rowOff>66675</xdr:rowOff>
                  </to>
                </anchor>
              </controlPr>
            </control>
          </mc:Choice>
        </mc:AlternateContent>
        <mc:AlternateContent xmlns:mc="http://schemas.openxmlformats.org/markup-compatibility/2006">
          <mc:Choice Requires="x14">
            <control shapeId="2315" r:id="rId171" name="Group Box 267">
              <controlPr defaultSize="0" autoFill="0" autoPict="0">
                <anchor moveWithCells="1">
                  <from>
                    <xdr:col>2</xdr:col>
                    <xdr:colOff>0</xdr:colOff>
                    <xdr:row>28</xdr:row>
                    <xdr:rowOff>0</xdr:rowOff>
                  </from>
                  <to>
                    <xdr:col>3</xdr:col>
                    <xdr:colOff>0</xdr:colOff>
                    <xdr:row>29</xdr:row>
                    <xdr:rowOff>38100</xdr:rowOff>
                  </to>
                </anchor>
              </controlPr>
            </control>
          </mc:Choice>
        </mc:AlternateContent>
        <mc:AlternateContent xmlns:mc="http://schemas.openxmlformats.org/markup-compatibility/2006">
          <mc:Choice Requires="x14">
            <control shapeId="2316" r:id="rId172" name="Group Box 268">
              <controlPr defaultSize="0" autoFill="0" autoPict="0">
                <anchor moveWithCells="1">
                  <from>
                    <xdr:col>2</xdr:col>
                    <xdr:colOff>0</xdr:colOff>
                    <xdr:row>28</xdr:row>
                    <xdr:rowOff>0</xdr:rowOff>
                  </from>
                  <to>
                    <xdr:col>3</xdr:col>
                    <xdr:colOff>0</xdr:colOff>
                    <xdr:row>29</xdr:row>
                    <xdr:rowOff>38100</xdr:rowOff>
                  </to>
                </anchor>
              </controlPr>
            </control>
          </mc:Choice>
        </mc:AlternateContent>
        <mc:AlternateContent xmlns:mc="http://schemas.openxmlformats.org/markup-compatibility/2006">
          <mc:Choice Requires="x14">
            <control shapeId="2317" r:id="rId173" name="Group Box 269">
              <controlPr defaultSize="0" autoFill="0" autoPict="0">
                <anchor moveWithCells="1">
                  <from>
                    <xdr:col>2</xdr:col>
                    <xdr:colOff>38100</xdr:colOff>
                    <xdr:row>28</xdr:row>
                    <xdr:rowOff>0</xdr:rowOff>
                  </from>
                  <to>
                    <xdr:col>2</xdr:col>
                    <xdr:colOff>2600325</xdr:colOff>
                    <xdr:row>30</xdr:row>
                    <xdr:rowOff>28575</xdr:rowOff>
                  </to>
                </anchor>
              </controlPr>
            </control>
          </mc:Choice>
        </mc:AlternateContent>
        <mc:AlternateContent xmlns:mc="http://schemas.openxmlformats.org/markup-compatibility/2006">
          <mc:Choice Requires="x14">
            <control shapeId="2318" r:id="rId174" name="Group Box 270">
              <controlPr defaultSize="0" autoFill="0" autoPict="0">
                <anchor moveWithCells="1">
                  <from>
                    <xdr:col>2</xdr:col>
                    <xdr:colOff>28575</xdr:colOff>
                    <xdr:row>28</xdr:row>
                    <xdr:rowOff>0</xdr:rowOff>
                  </from>
                  <to>
                    <xdr:col>2</xdr:col>
                    <xdr:colOff>2057400</xdr:colOff>
                    <xdr:row>30</xdr:row>
                    <xdr:rowOff>28575</xdr:rowOff>
                  </to>
                </anchor>
              </controlPr>
            </control>
          </mc:Choice>
        </mc:AlternateContent>
        <mc:AlternateContent xmlns:mc="http://schemas.openxmlformats.org/markup-compatibility/2006">
          <mc:Choice Requires="x14">
            <control shapeId="2319" r:id="rId175" name="Group Box 271">
              <controlPr defaultSize="0" autoFill="0" autoPict="0">
                <anchor moveWithCells="1">
                  <from>
                    <xdr:col>2</xdr:col>
                    <xdr:colOff>76200</xdr:colOff>
                    <xdr:row>28</xdr:row>
                    <xdr:rowOff>0</xdr:rowOff>
                  </from>
                  <to>
                    <xdr:col>2</xdr:col>
                    <xdr:colOff>2124075</xdr:colOff>
                    <xdr:row>30</xdr:row>
                    <xdr:rowOff>28575</xdr:rowOff>
                  </to>
                </anchor>
              </controlPr>
            </control>
          </mc:Choice>
        </mc:AlternateContent>
        <mc:AlternateContent xmlns:mc="http://schemas.openxmlformats.org/markup-compatibility/2006">
          <mc:Choice Requires="x14">
            <control shapeId="2320" r:id="rId176" name="Group Box 272">
              <controlPr defaultSize="0" autoFill="0" autoPict="0">
                <anchor moveWithCells="1">
                  <from>
                    <xdr:col>2</xdr:col>
                    <xdr:colOff>9525</xdr:colOff>
                    <xdr:row>28</xdr:row>
                    <xdr:rowOff>0</xdr:rowOff>
                  </from>
                  <to>
                    <xdr:col>2</xdr:col>
                    <xdr:colOff>2619375</xdr:colOff>
                    <xdr:row>32</xdr:row>
                    <xdr:rowOff>66675</xdr:rowOff>
                  </to>
                </anchor>
              </controlPr>
            </control>
          </mc:Choice>
        </mc:AlternateContent>
        <mc:AlternateContent xmlns:mc="http://schemas.openxmlformats.org/markup-compatibility/2006">
          <mc:Choice Requires="x14">
            <control shapeId="2321" r:id="rId177" name="Group Box 273">
              <controlPr defaultSize="0" autoFill="0" autoPict="0">
                <anchor moveWithCells="1">
                  <from>
                    <xdr:col>2</xdr:col>
                    <xdr:colOff>0</xdr:colOff>
                    <xdr:row>28</xdr:row>
                    <xdr:rowOff>0</xdr:rowOff>
                  </from>
                  <to>
                    <xdr:col>3</xdr:col>
                    <xdr:colOff>0</xdr:colOff>
                    <xdr:row>29</xdr:row>
                    <xdr:rowOff>47625</xdr:rowOff>
                  </to>
                </anchor>
              </controlPr>
            </control>
          </mc:Choice>
        </mc:AlternateContent>
        <mc:AlternateContent xmlns:mc="http://schemas.openxmlformats.org/markup-compatibility/2006">
          <mc:Choice Requires="x14">
            <control shapeId="2322" r:id="rId178" name="Group Box 274">
              <controlPr defaultSize="0" autoFill="0" autoPict="0">
                <anchor moveWithCells="1">
                  <from>
                    <xdr:col>2</xdr:col>
                    <xdr:colOff>9525</xdr:colOff>
                    <xdr:row>28</xdr:row>
                    <xdr:rowOff>0</xdr:rowOff>
                  </from>
                  <to>
                    <xdr:col>2</xdr:col>
                    <xdr:colOff>2619375</xdr:colOff>
                    <xdr:row>32</xdr:row>
                    <xdr:rowOff>66675</xdr:rowOff>
                  </to>
                </anchor>
              </controlPr>
            </control>
          </mc:Choice>
        </mc:AlternateContent>
        <mc:AlternateContent xmlns:mc="http://schemas.openxmlformats.org/markup-compatibility/2006">
          <mc:Choice Requires="x14">
            <control shapeId="2323" r:id="rId179" name="Group Box 275">
              <controlPr defaultSize="0" autoFill="0" autoPict="0">
                <anchor moveWithCells="1">
                  <from>
                    <xdr:col>2</xdr:col>
                    <xdr:colOff>9525</xdr:colOff>
                    <xdr:row>28</xdr:row>
                    <xdr:rowOff>0</xdr:rowOff>
                  </from>
                  <to>
                    <xdr:col>2</xdr:col>
                    <xdr:colOff>2619375</xdr:colOff>
                    <xdr:row>32</xdr:row>
                    <xdr:rowOff>66675</xdr:rowOff>
                  </to>
                </anchor>
              </controlPr>
            </control>
          </mc:Choice>
        </mc:AlternateContent>
        <mc:AlternateContent xmlns:mc="http://schemas.openxmlformats.org/markup-compatibility/2006">
          <mc:Choice Requires="x14">
            <control shapeId="2324" r:id="rId180" name="Group Box 276">
              <controlPr defaultSize="0" autoFill="0" autoPict="0">
                <anchor moveWithCells="1">
                  <from>
                    <xdr:col>2</xdr:col>
                    <xdr:colOff>9525</xdr:colOff>
                    <xdr:row>28</xdr:row>
                    <xdr:rowOff>0</xdr:rowOff>
                  </from>
                  <to>
                    <xdr:col>2</xdr:col>
                    <xdr:colOff>2619375</xdr:colOff>
                    <xdr:row>32</xdr:row>
                    <xdr:rowOff>66675</xdr:rowOff>
                  </to>
                </anchor>
              </controlPr>
            </control>
          </mc:Choice>
        </mc:AlternateContent>
        <mc:AlternateContent xmlns:mc="http://schemas.openxmlformats.org/markup-compatibility/2006">
          <mc:Choice Requires="x14">
            <control shapeId="2325" r:id="rId181" name="Group Box 277">
              <controlPr defaultSize="0" autoFill="0" autoPict="0">
                <anchor moveWithCells="1">
                  <from>
                    <xdr:col>2</xdr:col>
                    <xdr:colOff>9525</xdr:colOff>
                    <xdr:row>28</xdr:row>
                    <xdr:rowOff>0</xdr:rowOff>
                  </from>
                  <to>
                    <xdr:col>2</xdr:col>
                    <xdr:colOff>2619375</xdr:colOff>
                    <xdr:row>32</xdr:row>
                    <xdr:rowOff>66675</xdr:rowOff>
                  </to>
                </anchor>
              </controlPr>
            </control>
          </mc:Choice>
        </mc:AlternateContent>
        <mc:AlternateContent xmlns:mc="http://schemas.openxmlformats.org/markup-compatibility/2006">
          <mc:Choice Requires="x14">
            <control shapeId="2328" r:id="rId182" name="Group Box 280">
              <controlPr defaultSize="0" autoFill="0" autoPict="0">
                <anchor moveWithCells="1">
                  <from>
                    <xdr:col>3</xdr:col>
                    <xdr:colOff>0</xdr:colOff>
                    <xdr:row>21</xdr:row>
                    <xdr:rowOff>0</xdr:rowOff>
                  </from>
                  <to>
                    <xdr:col>12</xdr:col>
                    <xdr:colOff>9525</xdr:colOff>
                    <xdr:row>21</xdr:row>
                    <xdr:rowOff>200025</xdr:rowOff>
                  </to>
                </anchor>
              </controlPr>
            </control>
          </mc:Choice>
        </mc:AlternateContent>
        <mc:AlternateContent xmlns:mc="http://schemas.openxmlformats.org/markup-compatibility/2006">
          <mc:Choice Requires="x14">
            <control shapeId="2329" r:id="rId183" name="Group Box 281">
              <controlPr defaultSize="0" autoFill="0" autoPict="0">
                <anchor moveWithCells="1">
                  <from>
                    <xdr:col>3</xdr:col>
                    <xdr:colOff>9525</xdr:colOff>
                    <xdr:row>21</xdr:row>
                    <xdr:rowOff>0</xdr:rowOff>
                  </from>
                  <to>
                    <xdr:col>12</xdr:col>
                    <xdr:colOff>9525</xdr:colOff>
                    <xdr:row>21</xdr:row>
                    <xdr:rowOff>314325</xdr:rowOff>
                  </to>
                </anchor>
              </controlPr>
            </control>
          </mc:Choice>
        </mc:AlternateContent>
        <mc:AlternateContent xmlns:mc="http://schemas.openxmlformats.org/markup-compatibility/2006">
          <mc:Choice Requires="x14">
            <control shapeId="2330" r:id="rId184" name="Group Box 282">
              <controlPr defaultSize="0" autoFill="0" autoPict="0">
                <anchor moveWithCells="1">
                  <from>
                    <xdr:col>3</xdr:col>
                    <xdr:colOff>180975</xdr:colOff>
                    <xdr:row>21</xdr:row>
                    <xdr:rowOff>0</xdr:rowOff>
                  </from>
                  <to>
                    <xdr:col>8</xdr:col>
                    <xdr:colOff>638175</xdr:colOff>
                    <xdr:row>21</xdr:row>
                    <xdr:rowOff>314325</xdr:rowOff>
                  </to>
                </anchor>
              </controlPr>
            </control>
          </mc:Choice>
        </mc:AlternateContent>
        <mc:AlternateContent xmlns:mc="http://schemas.openxmlformats.org/markup-compatibility/2006">
          <mc:Choice Requires="x14">
            <control shapeId="2331" r:id="rId185" name="Group Box 283">
              <controlPr defaultSize="0" autoFill="0" autoPict="0">
                <anchor moveWithCells="1">
                  <from>
                    <xdr:col>3</xdr:col>
                    <xdr:colOff>38100</xdr:colOff>
                    <xdr:row>21</xdr:row>
                    <xdr:rowOff>0</xdr:rowOff>
                  </from>
                  <to>
                    <xdr:col>12</xdr:col>
                    <xdr:colOff>9525</xdr:colOff>
                    <xdr:row>21</xdr:row>
                    <xdr:rowOff>257175</xdr:rowOff>
                  </to>
                </anchor>
              </controlPr>
            </control>
          </mc:Choice>
        </mc:AlternateContent>
        <mc:AlternateContent xmlns:mc="http://schemas.openxmlformats.org/markup-compatibility/2006">
          <mc:Choice Requires="x14">
            <control shapeId="2332" r:id="rId186" name="Group Box 284">
              <controlPr defaultSize="0" autoFill="0" autoPict="0">
                <anchor moveWithCells="1">
                  <from>
                    <xdr:col>3</xdr:col>
                    <xdr:colOff>28575</xdr:colOff>
                    <xdr:row>21</xdr:row>
                    <xdr:rowOff>0</xdr:rowOff>
                  </from>
                  <to>
                    <xdr:col>10</xdr:col>
                    <xdr:colOff>0</xdr:colOff>
                    <xdr:row>21</xdr:row>
                    <xdr:rowOff>257175</xdr:rowOff>
                  </to>
                </anchor>
              </controlPr>
            </control>
          </mc:Choice>
        </mc:AlternateContent>
        <mc:AlternateContent xmlns:mc="http://schemas.openxmlformats.org/markup-compatibility/2006">
          <mc:Choice Requires="x14">
            <control shapeId="2333" r:id="rId187" name="Group Box 285">
              <controlPr defaultSize="0" autoFill="0" autoPict="0">
                <anchor moveWithCells="1">
                  <from>
                    <xdr:col>3</xdr:col>
                    <xdr:colOff>76200</xdr:colOff>
                    <xdr:row>21</xdr:row>
                    <xdr:rowOff>0</xdr:rowOff>
                  </from>
                  <to>
                    <xdr:col>10</xdr:col>
                    <xdr:colOff>66675</xdr:colOff>
                    <xdr:row>21</xdr:row>
                    <xdr:rowOff>238125</xdr:rowOff>
                  </to>
                </anchor>
              </controlPr>
            </control>
          </mc:Choice>
        </mc:AlternateContent>
        <mc:AlternateContent xmlns:mc="http://schemas.openxmlformats.org/markup-compatibility/2006">
          <mc:Choice Requires="x14">
            <control shapeId="2334" r:id="rId188" name="Group Box 286">
              <controlPr defaultSize="0" autoFill="0" autoPict="0">
                <anchor moveWithCells="1">
                  <from>
                    <xdr:col>3</xdr:col>
                    <xdr:colOff>9525</xdr:colOff>
                    <xdr:row>21</xdr:row>
                    <xdr:rowOff>0</xdr:rowOff>
                  </from>
                  <to>
                    <xdr:col>12</xdr:col>
                    <xdr:colOff>9525</xdr:colOff>
                    <xdr:row>21</xdr:row>
                    <xdr:rowOff>314325</xdr:rowOff>
                  </to>
                </anchor>
              </controlPr>
            </control>
          </mc:Choice>
        </mc:AlternateContent>
        <mc:AlternateContent xmlns:mc="http://schemas.openxmlformats.org/markup-compatibility/2006">
          <mc:Choice Requires="x14">
            <control shapeId="2335" r:id="rId189" name="Group Box 287">
              <controlPr defaultSize="0" autoFill="0" autoPict="0">
                <anchor moveWithCells="1">
                  <from>
                    <xdr:col>3</xdr:col>
                    <xdr:colOff>0</xdr:colOff>
                    <xdr:row>21</xdr:row>
                    <xdr:rowOff>0</xdr:rowOff>
                  </from>
                  <to>
                    <xdr:col>12</xdr:col>
                    <xdr:colOff>9525</xdr:colOff>
                    <xdr:row>21</xdr:row>
                    <xdr:rowOff>190500</xdr:rowOff>
                  </to>
                </anchor>
              </controlPr>
            </control>
          </mc:Choice>
        </mc:AlternateContent>
        <mc:AlternateContent xmlns:mc="http://schemas.openxmlformats.org/markup-compatibility/2006">
          <mc:Choice Requires="x14">
            <control shapeId="2336" r:id="rId190" name="Group Box 288">
              <controlPr defaultSize="0" autoFill="0" autoPict="0">
                <anchor moveWithCells="1">
                  <from>
                    <xdr:col>3</xdr:col>
                    <xdr:colOff>0</xdr:colOff>
                    <xdr:row>21</xdr:row>
                    <xdr:rowOff>0</xdr:rowOff>
                  </from>
                  <to>
                    <xdr:col>12</xdr:col>
                    <xdr:colOff>9525</xdr:colOff>
                    <xdr:row>21</xdr:row>
                    <xdr:rowOff>190500</xdr:rowOff>
                  </to>
                </anchor>
              </controlPr>
            </control>
          </mc:Choice>
        </mc:AlternateContent>
        <mc:AlternateContent xmlns:mc="http://schemas.openxmlformats.org/markup-compatibility/2006">
          <mc:Choice Requires="x14">
            <control shapeId="2337" r:id="rId191" name="Group Box 289">
              <controlPr defaultSize="0" autoFill="0" autoPict="0">
                <anchor moveWithCells="1">
                  <from>
                    <xdr:col>3</xdr:col>
                    <xdr:colOff>38100</xdr:colOff>
                    <xdr:row>21</xdr:row>
                    <xdr:rowOff>0</xdr:rowOff>
                  </from>
                  <to>
                    <xdr:col>12</xdr:col>
                    <xdr:colOff>9525</xdr:colOff>
                    <xdr:row>21</xdr:row>
                    <xdr:rowOff>257175</xdr:rowOff>
                  </to>
                </anchor>
              </controlPr>
            </control>
          </mc:Choice>
        </mc:AlternateContent>
        <mc:AlternateContent xmlns:mc="http://schemas.openxmlformats.org/markup-compatibility/2006">
          <mc:Choice Requires="x14">
            <control shapeId="2338" r:id="rId192" name="Group Box 290">
              <controlPr defaultSize="0" autoFill="0" autoPict="0">
                <anchor moveWithCells="1">
                  <from>
                    <xdr:col>3</xdr:col>
                    <xdr:colOff>28575</xdr:colOff>
                    <xdr:row>21</xdr:row>
                    <xdr:rowOff>0</xdr:rowOff>
                  </from>
                  <to>
                    <xdr:col>10</xdr:col>
                    <xdr:colOff>0</xdr:colOff>
                    <xdr:row>21</xdr:row>
                    <xdr:rowOff>257175</xdr:rowOff>
                  </to>
                </anchor>
              </controlPr>
            </control>
          </mc:Choice>
        </mc:AlternateContent>
        <mc:AlternateContent xmlns:mc="http://schemas.openxmlformats.org/markup-compatibility/2006">
          <mc:Choice Requires="x14">
            <control shapeId="2339" r:id="rId193" name="Group Box 291">
              <controlPr defaultSize="0" autoFill="0" autoPict="0">
                <anchor moveWithCells="1">
                  <from>
                    <xdr:col>3</xdr:col>
                    <xdr:colOff>76200</xdr:colOff>
                    <xdr:row>21</xdr:row>
                    <xdr:rowOff>0</xdr:rowOff>
                  </from>
                  <to>
                    <xdr:col>10</xdr:col>
                    <xdr:colOff>66675</xdr:colOff>
                    <xdr:row>21</xdr:row>
                    <xdr:rowOff>257175</xdr:rowOff>
                  </to>
                </anchor>
              </controlPr>
            </control>
          </mc:Choice>
        </mc:AlternateContent>
        <mc:AlternateContent xmlns:mc="http://schemas.openxmlformats.org/markup-compatibility/2006">
          <mc:Choice Requires="x14">
            <control shapeId="2340" r:id="rId194" name="Group Box 292">
              <controlPr defaultSize="0" autoFill="0" autoPict="0">
                <anchor moveWithCells="1">
                  <from>
                    <xdr:col>3</xdr:col>
                    <xdr:colOff>9525</xdr:colOff>
                    <xdr:row>21</xdr:row>
                    <xdr:rowOff>0</xdr:rowOff>
                  </from>
                  <to>
                    <xdr:col>12</xdr:col>
                    <xdr:colOff>9525</xdr:colOff>
                    <xdr:row>21</xdr:row>
                    <xdr:rowOff>314325</xdr:rowOff>
                  </to>
                </anchor>
              </controlPr>
            </control>
          </mc:Choice>
        </mc:AlternateContent>
        <mc:AlternateContent xmlns:mc="http://schemas.openxmlformats.org/markup-compatibility/2006">
          <mc:Choice Requires="x14">
            <control shapeId="2341" r:id="rId195" name="Group Box 293">
              <controlPr defaultSize="0" autoFill="0" autoPict="0">
                <anchor moveWithCells="1">
                  <from>
                    <xdr:col>3</xdr:col>
                    <xdr:colOff>0</xdr:colOff>
                    <xdr:row>21</xdr:row>
                    <xdr:rowOff>0</xdr:rowOff>
                  </from>
                  <to>
                    <xdr:col>12</xdr:col>
                    <xdr:colOff>9525</xdr:colOff>
                    <xdr:row>21</xdr:row>
                    <xdr:rowOff>200025</xdr:rowOff>
                  </to>
                </anchor>
              </controlPr>
            </control>
          </mc:Choice>
        </mc:AlternateContent>
        <mc:AlternateContent xmlns:mc="http://schemas.openxmlformats.org/markup-compatibility/2006">
          <mc:Choice Requires="x14">
            <control shapeId="2342" r:id="rId196" name="Group Box 294">
              <controlPr defaultSize="0" autoFill="0" autoPict="0">
                <anchor moveWithCells="1">
                  <from>
                    <xdr:col>3</xdr:col>
                    <xdr:colOff>76200</xdr:colOff>
                    <xdr:row>22</xdr:row>
                    <xdr:rowOff>0</xdr:rowOff>
                  </from>
                  <to>
                    <xdr:col>10</xdr:col>
                    <xdr:colOff>66675</xdr:colOff>
                    <xdr:row>22</xdr:row>
                    <xdr:rowOff>257175</xdr:rowOff>
                  </to>
                </anchor>
              </controlPr>
            </control>
          </mc:Choice>
        </mc:AlternateContent>
        <mc:AlternateContent xmlns:mc="http://schemas.openxmlformats.org/markup-compatibility/2006">
          <mc:Choice Requires="x14">
            <control shapeId="2343" r:id="rId197" name="Group Box 295">
              <controlPr defaultSize="0" autoFill="0" autoPict="0">
                <anchor moveWithCells="1">
                  <from>
                    <xdr:col>3</xdr:col>
                    <xdr:colOff>0</xdr:colOff>
                    <xdr:row>22</xdr:row>
                    <xdr:rowOff>0</xdr:rowOff>
                  </from>
                  <to>
                    <xdr:col>12</xdr:col>
                    <xdr:colOff>9525</xdr:colOff>
                    <xdr:row>22</xdr:row>
                    <xdr:rowOff>200025</xdr:rowOff>
                  </to>
                </anchor>
              </controlPr>
            </control>
          </mc:Choice>
        </mc:AlternateContent>
        <mc:AlternateContent xmlns:mc="http://schemas.openxmlformats.org/markup-compatibility/2006">
          <mc:Choice Requires="x14">
            <control shapeId="2344" r:id="rId198" name="Group Box 296">
              <controlPr defaultSize="0" autoFill="0" autoPict="0">
                <anchor moveWithCells="1">
                  <from>
                    <xdr:col>3</xdr:col>
                    <xdr:colOff>0</xdr:colOff>
                    <xdr:row>22</xdr:row>
                    <xdr:rowOff>0</xdr:rowOff>
                  </from>
                  <to>
                    <xdr:col>12</xdr:col>
                    <xdr:colOff>9525</xdr:colOff>
                    <xdr:row>22</xdr:row>
                    <xdr:rowOff>200025</xdr:rowOff>
                  </to>
                </anchor>
              </controlPr>
            </control>
          </mc:Choice>
        </mc:AlternateContent>
        <mc:AlternateContent xmlns:mc="http://schemas.openxmlformats.org/markup-compatibility/2006">
          <mc:Choice Requires="x14">
            <control shapeId="2345" r:id="rId199" name="Group Box 297">
              <controlPr defaultSize="0" autoFill="0" autoPict="0">
                <anchor moveWithCells="1">
                  <from>
                    <xdr:col>3</xdr:col>
                    <xdr:colOff>38100</xdr:colOff>
                    <xdr:row>22</xdr:row>
                    <xdr:rowOff>0</xdr:rowOff>
                  </from>
                  <to>
                    <xdr:col>12</xdr:col>
                    <xdr:colOff>9525</xdr:colOff>
                    <xdr:row>22</xdr:row>
                    <xdr:rowOff>257175</xdr:rowOff>
                  </to>
                </anchor>
              </controlPr>
            </control>
          </mc:Choice>
        </mc:AlternateContent>
        <mc:AlternateContent xmlns:mc="http://schemas.openxmlformats.org/markup-compatibility/2006">
          <mc:Choice Requires="x14">
            <control shapeId="2346" r:id="rId200" name="Group Box 298">
              <controlPr defaultSize="0" autoFill="0" autoPict="0">
                <anchor moveWithCells="1">
                  <from>
                    <xdr:col>3</xdr:col>
                    <xdr:colOff>9525</xdr:colOff>
                    <xdr:row>22</xdr:row>
                    <xdr:rowOff>0</xdr:rowOff>
                  </from>
                  <to>
                    <xdr:col>12</xdr:col>
                    <xdr:colOff>9525</xdr:colOff>
                    <xdr:row>24</xdr:row>
                    <xdr:rowOff>95250</xdr:rowOff>
                  </to>
                </anchor>
              </controlPr>
            </control>
          </mc:Choice>
        </mc:AlternateContent>
        <mc:AlternateContent xmlns:mc="http://schemas.openxmlformats.org/markup-compatibility/2006">
          <mc:Choice Requires="x14">
            <control shapeId="2347" r:id="rId201" name="Group Box 299">
              <controlPr defaultSize="0" autoFill="0" autoPict="0">
                <anchor moveWithCells="1">
                  <from>
                    <xdr:col>3</xdr:col>
                    <xdr:colOff>9525</xdr:colOff>
                    <xdr:row>21</xdr:row>
                    <xdr:rowOff>0</xdr:rowOff>
                  </from>
                  <to>
                    <xdr:col>12</xdr:col>
                    <xdr:colOff>9525</xdr:colOff>
                    <xdr:row>21</xdr:row>
                    <xdr:rowOff>314325</xdr:rowOff>
                  </to>
                </anchor>
              </controlPr>
            </control>
          </mc:Choice>
        </mc:AlternateContent>
        <mc:AlternateContent xmlns:mc="http://schemas.openxmlformats.org/markup-compatibility/2006">
          <mc:Choice Requires="x14">
            <control shapeId="2349" r:id="rId202" name="Group Box 301">
              <controlPr defaultSize="0" autoFill="0" autoPict="0">
                <anchor moveWithCells="1">
                  <from>
                    <xdr:col>3</xdr:col>
                    <xdr:colOff>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2350" r:id="rId203" name="Group Box 302">
              <controlPr defaultSize="0" autoFill="0" autoPict="0">
                <anchor moveWithCells="1">
                  <from>
                    <xdr:col>3</xdr:col>
                    <xdr:colOff>9525</xdr:colOff>
                    <xdr:row>24</xdr:row>
                    <xdr:rowOff>0</xdr:rowOff>
                  </from>
                  <to>
                    <xdr:col>12</xdr:col>
                    <xdr:colOff>9525</xdr:colOff>
                    <xdr:row>25</xdr:row>
                    <xdr:rowOff>123825</xdr:rowOff>
                  </to>
                </anchor>
              </controlPr>
            </control>
          </mc:Choice>
        </mc:AlternateContent>
        <mc:AlternateContent xmlns:mc="http://schemas.openxmlformats.org/markup-compatibility/2006">
          <mc:Choice Requires="x14">
            <control shapeId="2351" r:id="rId204" name="Group Box 303">
              <controlPr defaultSize="0" autoFill="0" autoPict="0">
                <anchor moveWithCells="1">
                  <from>
                    <xdr:col>3</xdr:col>
                    <xdr:colOff>180975</xdr:colOff>
                    <xdr:row>24</xdr:row>
                    <xdr:rowOff>0</xdr:rowOff>
                  </from>
                  <to>
                    <xdr:col>8</xdr:col>
                    <xdr:colOff>638175</xdr:colOff>
                    <xdr:row>25</xdr:row>
                    <xdr:rowOff>123825</xdr:rowOff>
                  </to>
                </anchor>
              </controlPr>
            </control>
          </mc:Choice>
        </mc:AlternateContent>
        <mc:AlternateContent xmlns:mc="http://schemas.openxmlformats.org/markup-compatibility/2006">
          <mc:Choice Requires="x14">
            <control shapeId="2352" r:id="rId205" name="Group Box 304">
              <controlPr defaultSize="0" autoFill="0" autoPict="0">
                <anchor moveWithCells="1">
                  <from>
                    <xdr:col>3</xdr:col>
                    <xdr:colOff>38100</xdr:colOff>
                    <xdr:row>24</xdr:row>
                    <xdr:rowOff>0</xdr:rowOff>
                  </from>
                  <to>
                    <xdr:col>12</xdr:col>
                    <xdr:colOff>9525</xdr:colOff>
                    <xdr:row>25</xdr:row>
                    <xdr:rowOff>66675</xdr:rowOff>
                  </to>
                </anchor>
              </controlPr>
            </control>
          </mc:Choice>
        </mc:AlternateContent>
        <mc:AlternateContent xmlns:mc="http://schemas.openxmlformats.org/markup-compatibility/2006">
          <mc:Choice Requires="x14">
            <control shapeId="2353" r:id="rId206" name="Group Box 305">
              <controlPr defaultSize="0" autoFill="0" autoPict="0">
                <anchor moveWithCells="1">
                  <from>
                    <xdr:col>3</xdr:col>
                    <xdr:colOff>28575</xdr:colOff>
                    <xdr:row>24</xdr:row>
                    <xdr:rowOff>0</xdr:rowOff>
                  </from>
                  <to>
                    <xdr:col>10</xdr:col>
                    <xdr:colOff>0</xdr:colOff>
                    <xdr:row>25</xdr:row>
                    <xdr:rowOff>66675</xdr:rowOff>
                  </to>
                </anchor>
              </controlPr>
            </control>
          </mc:Choice>
        </mc:AlternateContent>
        <mc:AlternateContent xmlns:mc="http://schemas.openxmlformats.org/markup-compatibility/2006">
          <mc:Choice Requires="x14">
            <control shapeId="2354" r:id="rId207" name="Group Box 306">
              <controlPr defaultSize="0" autoFill="0" autoPict="0">
                <anchor moveWithCells="1">
                  <from>
                    <xdr:col>3</xdr:col>
                    <xdr:colOff>76200</xdr:colOff>
                    <xdr:row>24</xdr:row>
                    <xdr:rowOff>0</xdr:rowOff>
                  </from>
                  <to>
                    <xdr:col>10</xdr:col>
                    <xdr:colOff>66675</xdr:colOff>
                    <xdr:row>25</xdr:row>
                    <xdr:rowOff>47625</xdr:rowOff>
                  </to>
                </anchor>
              </controlPr>
            </control>
          </mc:Choice>
        </mc:AlternateContent>
        <mc:AlternateContent xmlns:mc="http://schemas.openxmlformats.org/markup-compatibility/2006">
          <mc:Choice Requires="x14">
            <control shapeId="2355" r:id="rId208" name="Group Box 307">
              <controlPr defaultSize="0" autoFill="0" autoPict="0">
                <anchor moveWithCells="1">
                  <from>
                    <xdr:col>3</xdr:col>
                    <xdr:colOff>9525</xdr:colOff>
                    <xdr:row>24</xdr:row>
                    <xdr:rowOff>0</xdr:rowOff>
                  </from>
                  <to>
                    <xdr:col>12</xdr:col>
                    <xdr:colOff>9525</xdr:colOff>
                    <xdr:row>25</xdr:row>
                    <xdr:rowOff>123825</xdr:rowOff>
                  </to>
                </anchor>
              </controlPr>
            </control>
          </mc:Choice>
        </mc:AlternateContent>
        <mc:AlternateContent xmlns:mc="http://schemas.openxmlformats.org/markup-compatibility/2006">
          <mc:Choice Requires="x14">
            <control shapeId="2356" r:id="rId209" name="Group Box 308">
              <controlPr defaultSize="0" autoFill="0" autoPict="0">
                <anchor moveWithCells="1">
                  <from>
                    <xdr:col>3</xdr:col>
                    <xdr:colOff>0</xdr:colOff>
                    <xdr:row>24</xdr:row>
                    <xdr:rowOff>0</xdr:rowOff>
                  </from>
                  <to>
                    <xdr:col>12</xdr:col>
                    <xdr:colOff>9525</xdr:colOff>
                    <xdr:row>25</xdr:row>
                    <xdr:rowOff>0</xdr:rowOff>
                  </to>
                </anchor>
              </controlPr>
            </control>
          </mc:Choice>
        </mc:AlternateContent>
        <mc:AlternateContent xmlns:mc="http://schemas.openxmlformats.org/markup-compatibility/2006">
          <mc:Choice Requires="x14">
            <control shapeId="2357" r:id="rId210" name="Group Box 309">
              <controlPr defaultSize="0" autoFill="0" autoPict="0">
                <anchor moveWithCells="1">
                  <from>
                    <xdr:col>3</xdr:col>
                    <xdr:colOff>0</xdr:colOff>
                    <xdr:row>24</xdr:row>
                    <xdr:rowOff>0</xdr:rowOff>
                  </from>
                  <to>
                    <xdr:col>12</xdr:col>
                    <xdr:colOff>9525</xdr:colOff>
                    <xdr:row>25</xdr:row>
                    <xdr:rowOff>0</xdr:rowOff>
                  </to>
                </anchor>
              </controlPr>
            </control>
          </mc:Choice>
        </mc:AlternateContent>
        <mc:AlternateContent xmlns:mc="http://schemas.openxmlformats.org/markup-compatibility/2006">
          <mc:Choice Requires="x14">
            <control shapeId="2358" r:id="rId211" name="Group Box 310">
              <controlPr defaultSize="0" autoFill="0" autoPict="0">
                <anchor moveWithCells="1">
                  <from>
                    <xdr:col>3</xdr:col>
                    <xdr:colOff>38100</xdr:colOff>
                    <xdr:row>24</xdr:row>
                    <xdr:rowOff>0</xdr:rowOff>
                  </from>
                  <to>
                    <xdr:col>12</xdr:col>
                    <xdr:colOff>9525</xdr:colOff>
                    <xdr:row>25</xdr:row>
                    <xdr:rowOff>66675</xdr:rowOff>
                  </to>
                </anchor>
              </controlPr>
            </control>
          </mc:Choice>
        </mc:AlternateContent>
        <mc:AlternateContent xmlns:mc="http://schemas.openxmlformats.org/markup-compatibility/2006">
          <mc:Choice Requires="x14">
            <control shapeId="2359" r:id="rId212" name="Group Box 311">
              <controlPr defaultSize="0" autoFill="0" autoPict="0">
                <anchor moveWithCells="1">
                  <from>
                    <xdr:col>3</xdr:col>
                    <xdr:colOff>28575</xdr:colOff>
                    <xdr:row>24</xdr:row>
                    <xdr:rowOff>0</xdr:rowOff>
                  </from>
                  <to>
                    <xdr:col>10</xdr:col>
                    <xdr:colOff>0</xdr:colOff>
                    <xdr:row>25</xdr:row>
                    <xdr:rowOff>66675</xdr:rowOff>
                  </to>
                </anchor>
              </controlPr>
            </control>
          </mc:Choice>
        </mc:AlternateContent>
        <mc:AlternateContent xmlns:mc="http://schemas.openxmlformats.org/markup-compatibility/2006">
          <mc:Choice Requires="x14">
            <control shapeId="2360" r:id="rId213" name="Group Box 312">
              <controlPr defaultSize="0" autoFill="0" autoPict="0">
                <anchor moveWithCells="1">
                  <from>
                    <xdr:col>3</xdr:col>
                    <xdr:colOff>76200</xdr:colOff>
                    <xdr:row>24</xdr:row>
                    <xdr:rowOff>0</xdr:rowOff>
                  </from>
                  <to>
                    <xdr:col>10</xdr:col>
                    <xdr:colOff>66675</xdr:colOff>
                    <xdr:row>25</xdr:row>
                    <xdr:rowOff>66675</xdr:rowOff>
                  </to>
                </anchor>
              </controlPr>
            </control>
          </mc:Choice>
        </mc:AlternateContent>
        <mc:AlternateContent xmlns:mc="http://schemas.openxmlformats.org/markup-compatibility/2006">
          <mc:Choice Requires="x14">
            <control shapeId="2361" r:id="rId214" name="Group Box 313">
              <controlPr defaultSize="0" autoFill="0" autoPict="0">
                <anchor moveWithCells="1">
                  <from>
                    <xdr:col>3</xdr:col>
                    <xdr:colOff>9525</xdr:colOff>
                    <xdr:row>24</xdr:row>
                    <xdr:rowOff>0</xdr:rowOff>
                  </from>
                  <to>
                    <xdr:col>12</xdr:col>
                    <xdr:colOff>9525</xdr:colOff>
                    <xdr:row>25</xdr:row>
                    <xdr:rowOff>123825</xdr:rowOff>
                  </to>
                </anchor>
              </controlPr>
            </control>
          </mc:Choice>
        </mc:AlternateContent>
        <mc:AlternateContent xmlns:mc="http://schemas.openxmlformats.org/markup-compatibility/2006">
          <mc:Choice Requires="x14">
            <control shapeId="2362" r:id="rId215" name="Group Box 314">
              <controlPr defaultSize="0" autoFill="0" autoPict="0">
                <anchor moveWithCells="1">
                  <from>
                    <xdr:col>3</xdr:col>
                    <xdr:colOff>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2363" r:id="rId216" name="Group Box 315">
              <controlPr defaultSize="0" autoFill="0" autoPict="0">
                <anchor moveWithCells="1">
                  <from>
                    <xdr:col>3</xdr:col>
                    <xdr:colOff>76200</xdr:colOff>
                    <xdr:row>25</xdr:row>
                    <xdr:rowOff>0</xdr:rowOff>
                  </from>
                  <to>
                    <xdr:col>10</xdr:col>
                    <xdr:colOff>66675</xdr:colOff>
                    <xdr:row>25</xdr:row>
                    <xdr:rowOff>257175</xdr:rowOff>
                  </to>
                </anchor>
              </controlPr>
            </control>
          </mc:Choice>
        </mc:AlternateContent>
        <mc:AlternateContent xmlns:mc="http://schemas.openxmlformats.org/markup-compatibility/2006">
          <mc:Choice Requires="x14">
            <control shapeId="2364" r:id="rId217" name="Group Box 316">
              <controlPr defaultSize="0" autoFill="0" autoPict="0">
                <anchor moveWithCells="1">
                  <from>
                    <xdr:col>3</xdr:col>
                    <xdr:colOff>0</xdr:colOff>
                    <xdr:row>25</xdr:row>
                    <xdr:rowOff>0</xdr:rowOff>
                  </from>
                  <to>
                    <xdr:col>12</xdr:col>
                    <xdr:colOff>9525</xdr:colOff>
                    <xdr:row>25</xdr:row>
                    <xdr:rowOff>200025</xdr:rowOff>
                  </to>
                </anchor>
              </controlPr>
            </control>
          </mc:Choice>
        </mc:AlternateContent>
        <mc:AlternateContent xmlns:mc="http://schemas.openxmlformats.org/markup-compatibility/2006">
          <mc:Choice Requires="x14">
            <control shapeId="2365" r:id="rId218" name="Group Box 317">
              <controlPr defaultSize="0" autoFill="0" autoPict="0">
                <anchor moveWithCells="1">
                  <from>
                    <xdr:col>3</xdr:col>
                    <xdr:colOff>0</xdr:colOff>
                    <xdr:row>25</xdr:row>
                    <xdr:rowOff>0</xdr:rowOff>
                  </from>
                  <to>
                    <xdr:col>12</xdr:col>
                    <xdr:colOff>9525</xdr:colOff>
                    <xdr:row>25</xdr:row>
                    <xdr:rowOff>200025</xdr:rowOff>
                  </to>
                </anchor>
              </controlPr>
            </control>
          </mc:Choice>
        </mc:AlternateContent>
        <mc:AlternateContent xmlns:mc="http://schemas.openxmlformats.org/markup-compatibility/2006">
          <mc:Choice Requires="x14">
            <control shapeId="2366" r:id="rId219" name="Group Box 318">
              <controlPr defaultSize="0" autoFill="0" autoPict="0">
                <anchor moveWithCells="1">
                  <from>
                    <xdr:col>3</xdr:col>
                    <xdr:colOff>38100</xdr:colOff>
                    <xdr:row>25</xdr:row>
                    <xdr:rowOff>0</xdr:rowOff>
                  </from>
                  <to>
                    <xdr:col>12</xdr:col>
                    <xdr:colOff>9525</xdr:colOff>
                    <xdr:row>25</xdr:row>
                    <xdr:rowOff>257175</xdr:rowOff>
                  </to>
                </anchor>
              </controlPr>
            </control>
          </mc:Choice>
        </mc:AlternateContent>
        <mc:AlternateContent xmlns:mc="http://schemas.openxmlformats.org/markup-compatibility/2006">
          <mc:Choice Requires="x14">
            <control shapeId="2367" r:id="rId220" name="Group Box 319">
              <controlPr defaultSize="0" autoFill="0" autoPict="0">
                <anchor moveWithCells="1">
                  <from>
                    <xdr:col>3</xdr:col>
                    <xdr:colOff>9525</xdr:colOff>
                    <xdr:row>25</xdr:row>
                    <xdr:rowOff>0</xdr:rowOff>
                  </from>
                  <to>
                    <xdr:col>12</xdr:col>
                    <xdr:colOff>9525</xdr:colOff>
                    <xdr:row>29</xdr:row>
                    <xdr:rowOff>28575</xdr:rowOff>
                  </to>
                </anchor>
              </controlPr>
            </control>
          </mc:Choice>
        </mc:AlternateContent>
        <mc:AlternateContent xmlns:mc="http://schemas.openxmlformats.org/markup-compatibility/2006">
          <mc:Choice Requires="x14">
            <control shapeId="2368" r:id="rId221" name="Group Box 320">
              <controlPr defaultSize="0" autoFill="0" autoPict="0">
                <anchor moveWithCells="1">
                  <from>
                    <xdr:col>3</xdr:col>
                    <xdr:colOff>9525</xdr:colOff>
                    <xdr:row>24</xdr:row>
                    <xdr:rowOff>0</xdr:rowOff>
                  </from>
                  <to>
                    <xdr:col>12</xdr:col>
                    <xdr:colOff>9525</xdr:colOff>
                    <xdr:row>25</xdr:row>
                    <xdr:rowOff>123825</xdr:rowOff>
                  </to>
                </anchor>
              </controlPr>
            </control>
          </mc:Choice>
        </mc:AlternateContent>
        <mc:AlternateContent xmlns:mc="http://schemas.openxmlformats.org/markup-compatibility/2006">
          <mc:Choice Requires="x14">
            <control shapeId="2369" r:id="rId222" name="Group Box 321">
              <controlPr defaultSize="0" autoFill="0" autoPict="0">
                <anchor moveWithCells="1">
                  <from>
                    <xdr:col>2</xdr:col>
                    <xdr:colOff>9525</xdr:colOff>
                    <xdr:row>29</xdr:row>
                    <xdr:rowOff>0</xdr:rowOff>
                  </from>
                  <to>
                    <xdr:col>2</xdr:col>
                    <xdr:colOff>2619375</xdr:colOff>
                    <xdr:row>32</xdr:row>
                    <xdr:rowOff>104775</xdr:rowOff>
                  </to>
                </anchor>
              </controlPr>
            </control>
          </mc:Choice>
        </mc:AlternateContent>
        <mc:AlternateContent xmlns:mc="http://schemas.openxmlformats.org/markup-compatibility/2006">
          <mc:Choice Requires="x14">
            <control shapeId="2370" r:id="rId223" name="Group Box 322">
              <controlPr defaultSize="0" autoFill="0" autoPict="0" altText="">
                <anchor moveWithCells="1">
                  <from>
                    <xdr:col>2</xdr:col>
                    <xdr:colOff>0</xdr:colOff>
                    <xdr:row>29</xdr:row>
                    <xdr:rowOff>0</xdr:rowOff>
                  </from>
                  <to>
                    <xdr:col>3</xdr:col>
                    <xdr:colOff>9525</xdr:colOff>
                    <xdr:row>33</xdr:row>
                    <xdr:rowOff>104775</xdr:rowOff>
                  </to>
                </anchor>
              </controlPr>
            </control>
          </mc:Choice>
        </mc:AlternateContent>
        <mc:AlternateContent xmlns:mc="http://schemas.openxmlformats.org/markup-compatibility/2006">
          <mc:Choice Requires="x14">
            <control shapeId="2371" r:id="rId224" name="Group Box 323">
              <controlPr defaultSize="0" autoFill="0" autoPict="0" altText="">
                <anchor moveWithCells="1">
                  <from>
                    <xdr:col>2</xdr:col>
                    <xdr:colOff>0</xdr:colOff>
                    <xdr:row>29</xdr:row>
                    <xdr:rowOff>0</xdr:rowOff>
                  </from>
                  <to>
                    <xdr:col>3</xdr:col>
                    <xdr:colOff>9525</xdr:colOff>
                    <xdr:row>33</xdr:row>
                    <xdr:rowOff>104775</xdr:rowOff>
                  </to>
                </anchor>
              </controlPr>
            </control>
          </mc:Choice>
        </mc:AlternateContent>
        <mc:AlternateContent xmlns:mc="http://schemas.openxmlformats.org/markup-compatibility/2006">
          <mc:Choice Requires="x14">
            <control shapeId="2372" r:id="rId225" name="Group Box 324">
              <controlPr defaultSize="0" autoFill="0" autoPict="0" altText="">
                <anchor moveWithCells="1">
                  <from>
                    <xdr:col>0</xdr:col>
                    <xdr:colOff>0</xdr:colOff>
                    <xdr:row>29</xdr:row>
                    <xdr:rowOff>0</xdr:rowOff>
                  </from>
                  <to>
                    <xdr:col>1</xdr:col>
                    <xdr:colOff>2638425</xdr:colOff>
                    <xdr:row>33</xdr:row>
                    <xdr:rowOff>104775</xdr:rowOff>
                  </to>
                </anchor>
              </controlPr>
            </control>
          </mc:Choice>
        </mc:AlternateContent>
        <mc:AlternateContent xmlns:mc="http://schemas.openxmlformats.org/markup-compatibility/2006">
          <mc:Choice Requires="x14">
            <control shapeId="2373" r:id="rId226" name="Group Box 325">
              <controlPr defaultSize="0" autoFill="0" autoPict="0" altText="">
                <anchor moveWithCells="1">
                  <from>
                    <xdr:col>0</xdr:col>
                    <xdr:colOff>0</xdr:colOff>
                    <xdr:row>29</xdr:row>
                    <xdr:rowOff>0</xdr:rowOff>
                  </from>
                  <to>
                    <xdr:col>1</xdr:col>
                    <xdr:colOff>2638425</xdr:colOff>
                    <xdr:row>33</xdr:row>
                    <xdr:rowOff>104775</xdr:rowOff>
                  </to>
                </anchor>
              </controlPr>
            </control>
          </mc:Choice>
        </mc:AlternateContent>
        <mc:AlternateContent xmlns:mc="http://schemas.openxmlformats.org/markup-compatibility/2006">
          <mc:Choice Requires="x14">
            <control shapeId="2374" r:id="rId227" name="Group Box 326">
              <controlPr defaultSize="0" autoFill="0" autoPict="0" altText="">
                <anchor moveWithCells="1">
                  <from>
                    <xdr:col>0</xdr:col>
                    <xdr:colOff>0</xdr:colOff>
                    <xdr:row>29</xdr:row>
                    <xdr:rowOff>0</xdr:rowOff>
                  </from>
                  <to>
                    <xdr:col>1</xdr:col>
                    <xdr:colOff>2638425</xdr:colOff>
                    <xdr:row>33</xdr:row>
                    <xdr:rowOff>104775</xdr:rowOff>
                  </to>
                </anchor>
              </controlPr>
            </control>
          </mc:Choice>
        </mc:AlternateContent>
        <mc:AlternateContent xmlns:mc="http://schemas.openxmlformats.org/markup-compatibility/2006">
          <mc:Choice Requires="x14">
            <control shapeId="2375" r:id="rId228" name="Group Box 327">
              <controlPr defaultSize="0" autoFill="0" autoPict="0" altText="">
                <anchor moveWithCells="1">
                  <from>
                    <xdr:col>0</xdr:col>
                    <xdr:colOff>0</xdr:colOff>
                    <xdr:row>29</xdr:row>
                    <xdr:rowOff>0</xdr:rowOff>
                  </from>
                  <to>
                    <xdr:col>1</xdr:col>
                    <xdr:colOff>2638425</xdr:colOff>
                    <xdr:row>33</xdr:row>
                    <xdr:rowOff>104775</xdr:rowOff>
                  </to>
                </anchor>
              </controlPr>
            </control>
          </mc:Choice>
        </mc:AlternateContent>
        <mc:AlternateContent xmlns:mc="http://schemas.openxmlformats.org/markup-compatibility/2006">
          <mc:Choice Requires="x14">
            <control shapeId="2376" r:id="rId229" name="Group Box 328">
              <controlPr defaultSize="0" autoFill="0" autoPict="0">
                <anchor moveWithCells="1">
                  <from>
                    <xdr:col>2</xdr:col>
                    <xdr:colOff>0</xdr:colOff>
                    <xdr:row>34</xdr:row>
                    <xdr:rowOff>0</xdr:rowOff>
                  </from>
                  <to>
                    <xdr:col>3</xdr:col>
                    <xdr:colOff>0</xdr:colOff>
                    <xdr:row>35</xdr:row>
                    <xdr:rowOff>47625</xdr:rowOff>
                  </to>
                </anchor>
              </controlPr>
            </control>
          </mc:Choice>
        </mc:AlternateContent>
        <mc:AlternateContent xmlns:mc="http://schemas.openxmlformats.org/markup-compatibility/2006">
          <mc:Choice Requires="x14">
            <control shapeId="2377" r:id="rId230" name="Group Box 329">
              <controlPr defaultSize="0" autoFill="0" autoPict="0">
                <anchor moveWithCells="1">
                  <from>
                    <xdr:col>2</xdr:col>
                    <xdr:colOff>38100</xdr:colOff>
                    <xdr:row>34</xdr:row>
                    <xdr:rowOff>0</xdr:rowOff>
                  </from>
                  <to>
                    <xdr:col>2</xdr:col>
                    <xdr:colOff>2600325</xdr:colOff>
                    <xdr:row>35</xdr:row>
                    <xdr:rowOff>228600</xdr:rowOff>
                  </to>
                </anchor>
              </controlPr>
            </control>
          </mc:Choice>
        </mc:AlternateContent>
        <mc:AlternateContent xmlns:mc="http://schemas.openxmlformats.org/markup-compatibility/2006">
          <mc:Choice Requires="x14">
            <control shapeId="2378" r:id="rId231" name="Group Box 330">
              <controlPr defaultSize="0" autoFill="0" autoPict="0">
                <anchor moveWithCells="1">
                  <from>
                    <xdr:col>2</xdr:col>
                    <xdr:colOff>28575</xdr:colOff>
                    <xdr:row>34</xdr:row>
                    <xdr:rowOff>0</xdr:rowOff>
                  </from>
                  <to>
                    <xdr:col>2</xdr:col>
                    <xdr:colOff>2057400</xdr:colOff>
                    <xdr:row>35</xdr:row>
                    <xdr:rowOff>228600</xdr:rowOff>
                  </to>
                </anchor>
              </controlPr>
            </control>
          </mc:Choice>
        </mc:AlternateContent>
        <mc:AlternateContent xmlns:mc="http://schemas.openxmlformats.org/markup-compatibility/2006">
          <mc:Choice Requires="x14">
            <control shapeId="2379" r:id="rId232" name="Group Box 331">
              <controlPr defaultSize="0" autoFill="0" autoPict="0">
                <anchor moveWithCells="1">
                  <from>
                    <xdr:col>2</xdr:col>
                    <xdr:colOff>76200</xdr:colOff>
                    <xdr:row>34</xdr:row>
                    <xdr:rowOff>0</xdr:rowOff>
                  </from>
                  <to>
                    <xdr:col>2</xdr:col>
                    <xdr:colOff>2124075</xdr:colOff>
                    <xdr:row>35</xdr:row>
                    <xdr:rowOff>219075</xdr:rowOff>
                  </to>
                </anchor>
              </controlPr>
            </control>
          </mc:Choice>
        </mc:AlternateContent>
        <mc:AlternateContent xmlns:mc="http://schemas.openxmlformats.org/markup-compatibility/2006">
          <mc:Choice Requires="x14">
            <control shapeId="2380" r:id="rId233" name="Group Box 332">
              <controlPr defaultSize="0" autoFill="0" autoPict="0">
                <anchor moveWithCells="1">
                  <from>
                    <xdr:col>2</xdr:col>
                    <xdr:colOff>0</xdr:colOff>
                    <xdr:row>34</xdr:row>
                    <xdr:rowOff>0</xdr:rowOff>
                  </from>
                  <to>
                    <xdr:col>3</xdr:col>
                    <xdr:colOff>0</xdr:colOff>
                    <xdr:row>35</xdr:row>
                    <xdr:rowOff>38100</xdr:rowOff>
                  </to>
                </anchor>
              </controlPr>
            </control>
          </mc:Choice>
        </mc:AlternateContent>
        <mc:AlternateContent xmlns:mc="http://schemas.openxmlformats.org/markup-compatibility/2006">
          <mc:Choice Requires="x14">
            <control shapeId="2381" r:id="rId234" name="Group Box 333">
              <controlPr defaultSize="0" autoFill="0" autoPict="0">
                <anchor moveWithCells="1">
                  <from>
                    <xdr:col>2</xdr:col>
                    <xdr:colOff>0</xdr:colOff>
                    <xdr:row>34</xdr:row>
                    <xdr:rowOff>0</xdr:rowOff>
                  </from>
                  <to>
                    <xdr:col>3</xdr:col>
                    <xdr:colOff>0</xdr:colOff>
                    <xdr:row>35</xdr:row>
                    <xdr:rowOff>38100</xdr:rowOff>
                  </to>
                </anchor>
              </controlPr>
            </control>
          </mc:Choice>
        </mc:AlternateContent>
        <mc:AlternateContent xmlns:mc="http://schemas.openxmlformats.org/markup-compatibility/2006">
          <mc:Choice Requires="x14">
            <control shapeId="2382" r:id="rId235" name="Group Box 334">
              <controlPr defaultSize="0" autoFill="0" autoPict="0">
                <anchor moveWithCells="1">
                  <from>
                    <xdr:col>2</xdr:col>
                    <xdr:colOff>38100</xdr:colOff>
                    <xdr:row>34</xdr:row>
                    <xdr:rowOff>0</xdr:rowOff>
                  </from>
                  <to>
                    <xdr:col>2</xdr:col>
                    <xdr:colOff>2600325</xdr:colOff>
                    <xdr:row>35</xdr:row>
                    <xdr:rowOff>228600</xdr:rowOff>
                  </to>
                </anchor>
              </controlPr>
            </control>
          </mc:Choice>
        </mc:AlternateContent>
        <mc:AlternateContent xmlns:mc="http://schemas.openxmlformats.org/markup-compatibility/2006">
          <mc:Choice Requires="x14">
            <control shapeId="2383" r:id="rId236" name="Group Box 335">
              <controlPr defaultSize="0" autoFill="0" autoPict="0">
                <anchor moveWithCells="1">
                  <from>
                    <xdr:col>2</xdr:col>
                    <xdr:colOff>28575</xdr:colOff>
                    <xdr:row>34</xdr:row>
                    <xdr:rowOff>0</xdr:rowOff>
                  </from>
                  <to>
                    <xdr:col>2</xdr:col>
                    <xdr:colOff>2057400</xdr:colOff>
                    <xdr:row>35</xdr:row>
                    <xdr:rowOff>228600</xdr:rowOff>
                  </to>
                </anchor>
              </controlPr>
            </control>
          </mc:Choice>
        </mc:AlternateContent>
        <mc:AlternateContent xmlns:mc="http://schemas.openxmlformats.org/markup-compatibility/2006">
          <mc:Choice Requires="x14">
            <control shapeId="2384" r:id="rId237" name="Group Box 336">
              <controlPr defaultSize="0" autoFill="0" autoPict="0">
                <anchor moveWithCells="1">
                  <from>
                    <xdr:col>2</xdr:col>
                    <xdr:colOff>76200</xdr:colOff>
                    <xdr:row>34</xdr:row>
                    <xdr:rowOff>0</xdr:rowOff>
                  </from>
                  <to>
                    <xdr:col>2</xdr:col>
                    <xdr:colOff>2124075</xdr:colOff>
                    <xdr:row>35</xdr:row>
                    <xdr:rowOff>228600</xdr:rowOff>
                  </to>
                </anchor>
              </controlPr>
            </control>
          </mc:Choice>
        </mc:AlternateContent>
        <mc:AlternateContent xmlns:mc="http://schemas.openxmlformats.org/markup-compatibility/2006">
          <mc:Choice Requires="x14">
            <control shapeId="2385" r:id="rId238" name="Group Box 337">
              <controlPr defaultSize="0" autoFill="0" autoPict="0">
                <anchor moveWithCells="1">
                  <from>
                    <xdr:col>2</xdr:col>
                    <xdr:colOff>0</xdr:colOff>
                    <xdr:row>34</xdr:row>
                    <xdr:rowOff>0</xdr:rowOff>
                  </from>
                  <to>
                    <xdr:col>3</xdr:col>
                    <xdr:colOff>0</xdr:colOff>
                    <xdr:row>35</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7BE7-2794-4C8E-8163-CF7462244C33}">
  <sheetPr>
    <tabColor rgb="FFFFFF00"/>
  </sheetPr>
  <dimension ref="A1:K274"/>
  <sheetViews>
    <sheetView zoomScaleNormal="100" workbookViewId="0"/>
  </sheetViews>
  <sheetFormatPr defaultRowHeight="12.75"/>
  <cols>
    <col min="1" max="1" width="9.42578125" style="83" customWidth="1"/>
    <col min="2" max="2" width="5.42578125" style="83" customWidth="1"/>
    <col min="3" max="3" width="8.7109375" style="83"/>
    <col min="4" max="4" width="8.140625" style="83" customWidth="1"/>
    <col min="5" max="5" width="11.85546875" style="83" customWidth="1"/>
    <col min="6" max="6" width="13.28515625" style="83" customWidth="1"/>
    <col min="7" max="7" width="23.5703125" style="83" customWidth="1"/>
    <col min="8" max="10" width="15.7109375" style="83" customWidth="1"/>
    <col min="11" max="11" width="21.7109375" style="83" customWidth="1"/>
  </cols>
  <sheetData>
    <row r="1" spans="1:11" s="134" customFormat="1" ht="51" customHeight="1">
      <c r="A1" s="135" t="s">
        <v>160</v>
      </c>
      <c r="B1" s="136" t="s">
        <v>161</v>
      </c>
      <c r="C1" s="137" t="s">
        <v>162</v>
      </c>
      <c r="D1" s="137" t="s">
        <v>163</v>
      </c>
      <c r="E1" s="137" t="s">
        <v>164</v>
      </c>
      <c r="F1" s="142" t="s">
        <v>165</v>
      </c>
      <c r="G1" s="137" t="s">
        <v>41</v>
      </c>
      <c r="H1" s="142" t="s">
        <v>166</v>
      </c>
      <c r="I1" s="138" t="s">
        <v>167</v>
      </c>
      <c r="J1" s="139" t="s">
        <v>168</v>
      </c>
      <c r="K1" s="140" t="s">
        <v>28</v>
      </c>
    </row>
    <row r="163" spans="9:10">
      <c r="I163"/>
      <c r="J163"/>
    </row>
    <row r="164" spans="9:10">
      <c r="I164"/>
      <c r="J164"/>
    </row>
    <row r="165" spans="9:10">
      <c r="I165"/>
      <c r="J165"/>
    </row>
    <row r="166" spans="9:10">
      <c r="I166"/>
      <c r="J166"/>
    </row>
    <row r="167" spans="9:10">
      <c r="I167"/>
      <c r="J167"/>
    </row>
    <row r="168" spans="9:10">
      <c r="I168"/>
      <c r="J168"/>
    </row>
    <row r="169" spans="9:10">
      <c r="I169"/>
      <c r="J169"/>
    </row>
    <row r="170" spans="9:10">
      <c r="I170"/>
      <c r="J170"/>
    </row>
    <row r="171" spans="9:10">
      <c r="I171"/>
      <c r="J171"/>
    </row>
    <row r="172" spans="9:10">
      <c r="I172"/>
      <c r="J172"/>
    </row>
    <row r="173" spans="9:10">
      <c r="I173"/>
      <c r="J173"/>
    </row>
    <row r="174" spans="9:10">
      <c r="I174"/>
      <c r="J174"/>
    </row>
    <row r="175" spans="9:10">
      <c r="I175"/>
      <c r="J175"/>
    </row>
    <row r="176" spans="9:10">
      <c r="I176"/>
      <c r="J176"/>
    </row>
    <row r="177" spans="9:10">
      <c r="I177"/>
      <c r="J177"/>
    </row>
    <row r="178" spans="9:10">
      <c r="I178"/>
      <c r="J178"/>
    </row>
    <row r="179" spans="9:10">
      <c r="I179"/>
      <c r="J179"/>
    </row>
    <row r="180" spans="9:10">
      <c r="I180"/>
      <c r="J180"/>
    </row>
    <row r="181" spans="9:10">
      <c r="I181"/>
      <c r="J181"/>
    </row>
    <row r="182" spans="9:10">
      <c r="I182"/>
      <c r="J182"/>
    </row>
    <row r="183" spans="9:10">
      <c r="I183"/>
      <c r="J183"/>
    </row>
    <row r="184" spans="9:10">
      <c r="I184"/>
      <c r="J184"/>
    </row>
    <row r="185" spans="9:10">
      <c r="I185"/>
      <c r="J185"/>
    </row>
    <row r="186" spans="9:10">
      <c r="I186"/>
      <c r="J186"/>
    </row>
    <row r="187" spans="9:10">
      <c r="I187"/>
      <c r="J187"/>
    </row>
    <row r="188" spans="9:10">
      <c r="I188"/>
      <c r="J188"/>
    </row>
    <row r="189" spans="9:10">
      <c r="I189"/>
      <c r="J189"/>
    </row>
    <row r="190" spans="9:10">
      <c r="I190"/>
      <c r="J190"/>
    </row>
    <row r="191" spans="9:10">
      <c r="I191"/>
      <c r="J191"/>
    </row>
    <row r="192" spans="9:10">
      <c r="I192"/>
      <c r="J192"/>
    </row>
    <row r="193" spans="9:10">
      <c r="I193"/>
      <c r="J193"/>
    </row>
    <row r="194" spans="9:10">
      <c r="I194"/>
      <c r="J194"/>
    </row>
    <row r="195" spans="9:10">
      <c r="I195"/>
      <c r="J195"/>
    </row>
    <row r="196" spans="9:10">
      <c r="I196"/>
      <c r="J196"/>
    </row>
    <row r="197" spans="9:10">
      <c r="I197"/>
      <c r="J197"/>
    </row>
    <row r="198" spans="9:10">
      <c r="I198"/>
      <c r="J198"/>
    </row>
    <row r="199" spans="9:10">
      <c r="I199"/>
      <c r="J199"/>
    </row>
    <row r="200" spans="9:10">
      <c r="I200"/>
      <c r="J200"/>
    </row>
    <row r="201" spans="9:10">
      <c r="I201"/>
      <c r="J201"/>
    </row>
    <row r="202" spans="9:10">
      <c r="I202"/>
      <c r="J202"/>
    </row>
    <row r="203" spans="9:10">
      <c r="I203"/>
      <c r="J203"/>
    </row>
    <row r="204" spans="9:10">
      <c r="I204"/>
      <c r="J204"/>
    </row>
    <row r="205" spans="9:10">
      <c r="I205"/>
      <c r="J205"/>
    </row>
    <row r="206" spans="9:10">
      <c r="I206"/>
      <c r="J206"/>
    </row>
    <row r="207" spans="9:10">
      <c r="I207"/>
      <c r="J207"/>
    </row>
    <row r="208" spans="9:10">
      <c r="I208"/>
      <c r="J208"/>
    </row>
    <row r="209" spans="9:10">
      <c r="I209"/>
      <c r="J209"/>
    </row>
    <row r="210" spans="9:10">
      <c r="I210"/>
      <c r="J210"/>
    </row>
    <row r="211" spans="9:10">
      <c r="I211"/>
      <c r="J211"/>
    </row>
    <row r="212" spans="9:10">
      <c r="I212"/>
      <c r="J212"/>
    </row>
    <row r="213" spans="9:10">
      <c r="I213"/>
      <c r="J213"/>
    </row>
    <row r="214" spans="9:10">
      <c r="I214"/>
      <c r="J214"/>
    </row>
    <row r="215" spans="9:10">
      <c r="I215"/>
      <c r="J215"/>
    </row>
    <row r="216" spans="9:10">
      <c r="I216"/>
      <c r="J216"/>
    </row>
    <row r="217" spans="9:10">
      <c r="I217"/>
      <c r="J217"/>
    </row>
    <row r="218" spans="9:10">
      <c r="I218"/>
      <c r="J218"/>
    </row>
    <row r="219" spans="9:10">
      <c r="I219"/>
      <c r="J219"/>
    </row>
    <row r="220" spans="9:10">
      <c r="I220"/>
      <c r="J220"/>
    </row>
    <row r="221" spans="9:10">
      <c r="I221"/>
      <c r="J221"/>
    </row>
    <row r="222" spans="9:10">
      <c r="I222"/>
      <c r="J222"/>
    </row>
    <row r="223" spans="9:10">
      <c r="I223"/>
      <c r="J223"/>
    </row>
    <row r="224" spans="9:10">
      <c r="I224"/>
      <c r="J224"/>
    </row>
    <row r="225" spans="9:10">
      <c r="I225"/>
      <c r="J225"/>
    </row>
    <row r="226" spans="9:10">
      <c r="I226"/>
      <c r="J226"/>
    </row>
    <row r="227" spans="9:10">
      <c r="I227"/>
      <c r="J227"/>
    </row>
    <row r="228" spans="9:10">
      <c r="I228"/>
      <c r="J228"/>
    </row>
    <row r="229" spans="9:10">
      <c r="I229"/>
      <c r="J229"/>
    </row>
    <row r="230" spans="9:10">
      <c r="I230"/>
      <c r="J230"/>
    </row>
    <row r="231" spans="9:10">
      <c r="I231"/>
      <c r="J231"/>
    </row>
    <row r="232" spans="9:10">
      <c r="I232"/>
      <c r="J232"/>
    </row>
    <row r="233" spans="9:10">
      <c r="I233"/>
      <c r="J233"/>
    </row>
    <row r="234" spans="9:10">
      <c r="I234"/>
      <c r="J234"/>
    </row>
    <row r="235" spans="9:10">
      <c r="I235"/>
      <c r="J235"/>
    </row>
    <row r="236" spans="9:10">
      <c r="I236"/>
      <c r="J236"/>
    </row>
    <row r="237" spans="9:10">
      <c r="I237"/>
      <c r="J237"/>
    </row>
    <row r="238" spans="9:10">
      <c r="I238"/>
      <c r="J238"/>
    </row>
    <row r="239" spans="9:10">
      <c r="I239"/>
      <c r="J239"/>
    </row>
    <row r="240" spans="9:10">
      <c r="I240"/>
      <c r="J240"/>
    </row>
    <row r="241" spans="9:10">
      <c r="I241"/>
      <c r="J241"/>
    </row>
    <row r="242" spans="9:10">
      <c r="I242"/>
      <c r="J242"/>
    </row>
    <row r="243" spans="9:10">
      <c r="I243"/>
      <c r="J243"/>
    </row>
    <row r="244" spans="9:10">
      <c r="I244"/>
      <c r="J244"/>
    </row>
    <row r="245" spans="9:10">
      <c r="I245"/>
      <c r="J245"/>
    </row>
    <row r="246" spans="9:10">
      <c r="I246"/>
      <c r="J246"/>
    </row>
    <row r="247" spans="9:10">
      <c r="I247"/>
      <c r="J247"/>
    </row>
    <row r="248" spans="9:10">
      <c r="I248"/>
      <c r="J248"/>
    </row>
    <row r="249" spans="9:10">
      <c r="I249"/>
      <c r="J249"/>
    </row>
    <row r="250" spans="9:10">
      <c r="I250"/>
      <c r="J250"/>
    </row>
    <row r="251" spans="9:10">
      <c r="I251"/>
      <c r="J251"/>
    </row>
    <row r="252" spans="9:10">
      <c r="I252"/>
      <c r="J252"/>
    </row>
    <row r="253" spans="9:10">
      <c r="I253"/>
      <c r="J253"/>
    </row>
    <row r="254" spans="9:10">
      <c r="I254"/>
      <c r="J254"/>
    </row>
    <row r="255" spans="9:10">
      <c r="I255"/>
      <c r="J255"/>
    </row>
    <row r="256" spans="9:10">
      <c r="I256"/>
      <c r="J256"/>
    </row>
    <row r="257" spans="9:10">
      <c r="I257"/>
      <c r="J257"/>
    </row>
    <row r="258" spans="9:10">
      <c r="I258"/>
      <c r="J258"/>
    </row>
    <row r="259" spans="9:10">
      <c r="I259"/>
      <c r="J259"/>
    </row>
    <row r="260" spans="9:10">
      <c r="I260"/>
      <c r="J260"/>
    </row>
    <row r="261" spans="9:10">
      <c r="I261"/>
      <c r="J261"/>
    </row>
    <row r="262" spans="9:10">
      <c r="I262"/>
      <c r="J262"/>
    </row>
    <row r="263" spans="9:10">
      <c r="I263"/>
      <c r="J263"/>
    </row>
    <row r="264" spans="9:10">
      <c r="I264"/>
      <c r="J264"/>
    </row>
    <row r="265" spans="9:10">
      <c r="I265"/>
      <c r="J265"/>
    </row>
    <row r="266" spans="9:10">
      <c r="I266"/>
      <c r="J266"/>
    </row>
    <row r="267" spans="9:10">
      <c r="I267"/>
      <c r="J267"/>
    </row>
    <row r="268" spans="9:10">
      <c r="I268"/>
      <c r="J268"/>
    </row>
    <row r="269" spans="9:10">
      <c r="I269"/>
      <c r="J269"/>
    </row>
    <row r="270" spans="9:10">
      <c r="I270"/>
      <c r="J270"/>
    </row>
    <row r="271" spans="9:10">
      <c r="I271"/>
      <c r="J271"/>
    </row>
    <row r="272" spans="9:10">
      <c r="I272"/>
      <c r="J272"/>
    </row>
    <row r="273" spans="9:10">
      <c r="I273"/>
      <c r="J273"/>
    </row>
    <row r="274" spans="9:10">
      <c r="I274"/>
      <c r="J274"/>
    </row>
  </sheetData>
  <autoFilter ref="A1:K274" xr:uid="{00000000-0009-0000-0000-000004000000}"/>
  <hyperlinks>
    <hyperlink ref="F1" location="Definitions!A31" display="Work study" xr:uid="{BFD80940-541A-4474-8E31-5091169B3A9B}"/>
    <hyperlink ref="G1" location="Definitions!A13" display="Aggregated ISCED-A 2011" xr:uid="{63485F96-457E-4D61-A554-6AEC8878D58F}"/>
    <hyperlink ref="C1" location="Definitions!A9" display="Gender" xr:uid="{ECE73BBE-676F-4E54-8D2D-AD1F55C23BD8}"/>
    <hyperlink ref="D1" location="Definitions!A3" display="Age" xr:uid="{1BFFE7E6-B311-4014-BD33-2F7CF1448BFA}"/>
    <hyperlink ref="E1" location="Definitions!A23" display="School status" xr:uid="{8D63918C-C9AF-4521-B7A2-5DB371EBB09E}"/>
    <hyperlink ref="H1" location="Definitions!A15" display="Labour status" xr:uid="{0780CE6C-49F0-4303-B745-74D36EE7E7E7}"/>
    <hyperlink ref="I1" location="Definitions!A19" display="Population in thousands" xr:uid="{F4DE982A-DB89-4C7A-A44F-5889E0CEF0D0}"/>
    <hyperlink ref="J1" location="Definitions!A21" display="Population sample" xr:uid="{374F4464-6B97-4F0E-B9A7-F57AC9B7D244}"/>
    <hyperlink ref="B1" location="Definitions!A33" display="Year" xr:uid="{928C708C-D64D-47F9-8513-F4F47AD2F470}"/>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249977111117893"/>
    <pageSetUpPr fitToPage="1"/>
  </sheetPr>
  <dimension ref="A1:AU45"/>
  <sheetViews>
    <sheetView zoomScaleNormal="100" zoomScaleSheetLayoutView="100" workbookViewId="0"/>
  </sheetViews>
  <sheetFormatPr defaultColWidth="8.7109375" defaultRowHeight="12.75"/>
  <cols>
    <col min="1" max="1" width="11.140625" style="161" customWidth="1"/>
    <col min="2" max="2" width="3.42578125" style="161" bestFit="1" customWidth="1"/>
    <col min="3" max="3" width="52.85546875" style="161" customWidth="1"/>
    <col min="4" max="9" width="11.5703125" style="161" customWidth="1"/>
    <col min="10" max="10" width="5.5703125" style="161" bestFit="1" customWidth="1"/>
    <col min="11" max="11" width="6.5703125" style="161" bestFit="1" customWidth="1"/>
    <col min="12" max="12" width="7" style="161" bestFit="1" customWidth="1"/>
    <col min="13" max="13" width="7.5703125" style="161" bestFit="1" customWidth="1"/>
    <col min="14" max="14" width="6.5703125" style="161" bestFit="1" customWidth="1"/>
    <col min="15" max="15" width="7" style="161" bestFit="1" customWidth="1"/>
    <col min="16" max="27" width="11.85546875" style="161" customWidth="1"/>
    <col min="28" max="28" width="6.140625" style="161" customWidth="1"/>
    <col min="29" max="29" width="6.5703125" style="161" bestFit="1" customWidth="1"/>
    <col min="30" max="30" width="11.5703125" style="161" customWidth="1"/>
    <col min="31" max="31" width="6.5703125" style="161" bestFit="1" customWidth="1"/>
    <col min="32" max="32" width="11.5703125" style="161" customWidth="1"/>
    <col min="33" max="33" width="6.5703125" style="161" bestFit="1" customWidth="1"/>
    <col min="34" max="34" width="11.5703125" style="161" customWidth="1"/>
    <col min="35" max="37" width="5.5703125" style="161" bestFit="1" customWidth="1"/>
    <col min="38" max="40" width="6.5703125" style="161" bestFit="1" customWidth="1"/>
    <col min="41" max="41" width="8.7109375" style="161"/>
    <col min="42" max="47" width="15.140625" style="161" customWidth="1"/>
    <col min="48" max="16384" width="8.7109375" style="161"/>
  </cols>
  <sheetData>
    <row r="1" spans="1:47" ht="21.75" customHeight="1">
      <c r="A1" s="157" t="s">
        <v>42</v>
      </c>
      <c r="B1" s="157"/>
      <c r="C1" s="158">
        <f>Flat_file!B2</f>
        <v>0</v>
      </c>
      <c r="D1" s="159"/>
      <c r="E1" s="159"/>
      <c r="F1" s="159"/>
      <c r="G1" s="159"/>
      <c r="H1" s="159"/>
      <c r="I1" s="159"/>
      <c r="J1" s="159"/>
      <c r="K1" s="159"/>
      <c r="L1" s="159"/>
      <c r="M1" s="159"/>
      <c r="N1" s="159"/>
      <c r="O1" s="159"/>
      <c r="P1" s="159"/>
      <c r="Q1" s="159"/>
      <c r="R1" s="159"/>
      <c r="S1" s="159"/>
      <c r="T1" s="159"/>
      <c r="U1" s="159"/>
      <c r="V1" s="159"/>
      <c r="W1" s="159"/>
      <c r="X1" s="159"/>
      <c r="Y1" s="159"/>
      <c r="Z1" s="159"/>
      <c r="AA1" s="159"/>
      <c r="AB1" s="160"/>
      <c r="AC1" s="159"/>
      <c r="AD1" s="159"/>
      <c r="AE1" s="159"/>
      <c r="AF1" s="159"/>
      <c r="AG1" s="159"/>
      <c r="AH1" s="159"/>
      <c r="AI1" s="159"/>
      <c r="AJ1" s="159"/>
      <c r="AK1" s="159"/>
      <c r="AL1" s="159"/>
      <c r="AM1" s="159"/>
      <c r="AN1" s="159"/>
      <c r="AP1" s="282" t="s">
        <v>172</v>
      </c>
      <c r="AQ1" s="282"/>
      <c r="AR1" s="282"/>
      <c r="AS1" s="282"/>
      <c r="AT1" s="282"/>
      <c r="AU1" s="282"/>
    </row>
    <row r="2" spans="1:47" ht="34.5" customHeight="1" thickBot="1">
      <c r="C2" s="162"/>
      <c r="D2" s="287" t="s">
        <v>13</v>
      </c>
      <c r="E2" s="287"/>
      <c r="F2" s="287"/>
      <c r="G2" s="287"/>
      <c r="H2" s="287"/>
      <c r="I2" s="287"/>
      <c r="J2" s="287"/>
      <c r="K2" s="287"/>
      <c r="L2" s="287"/>
      <c r="M2" s="287"/>
      <c r="N2" s="287"/>
      <c r="O2" s="287"/>
      <c r="P2" s="163"/>
      <c r="Q2" s="163"/>
      <c r="R2" s="163"/>
      <c r="S2" s="163"/>
      <c r="T2" s="163"/>
      <c r="U2" s="163"/>
      <c r="V2" s="163"/>
      <c r="W2" s="163"/>
      <c r="X2" s="163"/>
      <c r="Y2" s="163"/>
      <c r="Z2" s="163"/>
      <c r="AA2" s="163"/>
      <c r="AB2" s="162"/>
      <c r="AC2" s="287" t="s">
        <v>14</v>
      </c>
      <c r="AD2" s="287"/>
      <c r="AE2" s="287"/>
      <c r="AF2" s="287"/>
      <c r="AG2" s="287"/>
      <c r="AH2" s="287"/>
      <c r="AI2" s="287"/>
      <c r="AJ2" s="287"/>
      <c r="AK2" s="287"/>
      <c r="AL2" s="287"/>
      <c r="AM2" s="287"/>
      <c r="AN2" s="287"/>
      <c r="AP2" s="283" t="s">
        <v>187</v>
      </c>
      <c r="AQ2" s="283"/>
      <c r="AR2" s="283"/>
      <c r="AS2" s="283"/>
      <c r="AT2" s="283"/>
      <c r="AU2" s="283"/>
    </row>
    <row r="3" spans="1:47" ht="25.5">
      <c r="A3" s="273"/>
      <c r="B3" s="274"/>
      <c r="C3" s="275"/>
      <c r="D3" s="263" t="s">
        <v>3</v>
      </c>
      <c r="E3" s="261"/>
      <c r="F3" s="261"/>
      <c r="G3" s="261"/>
      <c r="H3" s="261"/>
      <c r="I3" s="261"/>
      <c r="J3" s="261"/>
      <c r="K3" s="261"/>
      <c r="L3" s="261"/>
      <c r="M3" s="261"/>
      <c r="N3" s="261"/>
      <c r="O3" s="261"/>
      <c r="P3" s="252" t="s">
        <v>213</v>
      </c>
      <c r="Q3" s="252"/>
      <c r="R3" s="252"/>
      <c r="S3" s="252"/>
      <c r="T3" s="252" t="s">
        <v>191</v>
      </c>
      <c r="U3" s="252"/>
      <c r="V3" s="252"/>
      <c r="W3" s="252"/>
      <c r="X3" s="252" t="s">
        <v>192</v>
      </c>
      <c r="Y3" s="252"/>
      <c r="Z3" s="252"/>
      <c r="AA3" s="252"/>
      <c r="AC3" s="284" t="s">
        <v>3</v>
      </c>
      <c r="AD3" s="285"/>
      <c r="AE3" s="285"/>
      <c r="AF3" s="285"/>
      <c r="AG3" s="285"/>
      <c r="AH3" s="285"/>
      <c r="AI3" s="285"/>
      <c r="AJ3" s="285"/>
      <c r="AK3" s="285"/>
      <c r="AL3" s="285"/>
      <c r="AM3" s="285"/>
      <c r="AN3" s="286"/>
      <c r="AP3" s="164" t="s">
        <v>162</v>
      </c>
      <c r="AQ3" s="164" t="s">
        <v>163</v>
      </c>
      <c r="AR3" s="164" t="s">
        <v>164</v>
      </c>
      <c r="AS3" s="164" t="s">
        <v>165</v>
      </c>
      <c r="AT3" s="165" t="s">
        <v>41</v>
      </c>
      <c r="AU3" s="165" t="s">
        <v>166</v>
      </c>
    </row>
    <row r="4" spans="1:47" ht="12.75" customHeight="1">
      <c r="A4" s="276"/>
      <c r="B4" s="277"/>
      <c r="C4" s="278"/>
      <c r="D4" s="256" t="s">
        <v>6</v>
      </c>
      <c r="E4" s="257"/>
      <c r="F4" s="257"/>
      <c r="G4" s="257"/>
      <c r="H4" s="257"/>
      <c r="I4" s="257"/>
      <c r="J4" s="256" t="s">
        <v>7</v>
      </c>
      <c r="K4" s="257"/>
      <c r="L4" s="257"/>
      <c r="M4" s="256" t="s">
        <v>8</v>
      </c>
      <c r="N4" s="257"/>
      <c r="O4" s="257"/>
      <c r="P4" s="252" t="s">
        <v>6</v>
      </c>
      <c r="Q4" s="252"/>
      <c r="R4" s="166" t="s">
        <v>7</v>
      </c>
      <c r="S4" s="166" t="s">
        <v>8</v>
      </c>
      <c r="T4" s="252" t="s">
        <v>6</v>
      </c>
      <c r="U4" s="252"/>
      <c r="V4" s="166" t="s">
        <v>7</v>
      </c>
      <c r="W4" s="166" t="s">
        <v>8</v>
      </c>
      <c r="X4" s="252" t="s">
        <v>6</v>
      </c>
      <c r="Y4" s="252"/>
      <c r="Z4" s="166" t="s">
        <v>7</v>
      </c>
      <c r="AA4" s="166" t="s">
        <v>8</v>
      </c>
      <c r="AC4" s="259" t="s">
        <v>6</v>
      </c>
      <c r="AD4" s="254"/>
      <c r="AE4" s="254"/>
      <c r="AF4" s="254"/>
      <c r="AG4" s="254"/>
      <c r="AH4" s="254"/>
      <c r="AI4" s="253" t="s">
        <v>7</v>
      </c>
      <c r="AJ4" s="254"/>
      <c r="AK4" s="254"/>
      <c r="AL4" s="253" t="s">
        <v>8</v>
      </c>
      <c r="AM4" s="254"/>
      <c r="AN4" s="255"/>
      <c r="AP4" s="167" t="s">
        <v>173</v>
      </c>
      <c r="AQ4" s="164" t="s">
        <v>174</v>
      </c>
      <c r="AR4" s="164"/>
      <c r="AS4" s="164"/>
      <c r="AT4" s="156"/>
      <c r="AU4" s="156"/>
    </row>
    <row r="5" spans="1:47" ht="39" thickBot="1">
      <c r="A5" s="279"/>
      <c r="B5" s="280"/>
      <c r="C5" s="281"/>
      <c r="D5" s="168" t="s">
        <v>0</v>
      </c>
      <c r="E5" s="169" t="s">
        <v>5</v>
      </c>
      <c r="F5" s="170" t="s">
        <v>1</v>
      </c>
      <c r="G5" s="169" t="s">
        <v>5</v>
      </c>
      <c r="H5" s="170" t="s">
        <v>2</v>
      </c>
      <c r="I5" s="169" t="s">
        <v>5</v>
      </c>
      <c r="J5" s="170" t="s">
        <v>0</v>
      </c>
      <c r="K5" s="170" t="s">
        <v>1</v>
      </c>
      <c r="L5" s="170" t="s">
        <v>2</v>
      </c>
      <c r="M5" s="170" t="s">
        <v>0</v>
      </c>
      <c r="N5" s="170" t="s">
        <v>1</v>
      </c>
      <c r="O5" s="171" t="s">
        <v>2</v>
      </c>
      <c r="P5" s="172" t="s">
        <v>214</v>
      </c>
      <c r="Q5" s="173" t="s">
        <v>5</v>
      </c>
      <c r="R5" s="172" t="s">
        <v>214</v>
      </c>
      <c r="S5" s="172" t="s">
        <v>214</v>
      </c>
      <c r="T5" s="172" t="s">
        <v>179</v>
      </c>
      <c r="U5" s="173" t="s">
        <v>5</v>
      </c>
      <c r="V5" s="172" t="s">
        <v>179</v>
      </c>
      <c r="W5" s="172" t="s">
        <v>179</v>
      </c>
      <c r="X5" s="172" t="s">
        <v>178</v>
      </c>
      <c r="Y5" s="173" t="s">
        <v>5</v>
      </c>
      <c r="Z5" s="172" t="s">
        <v>178</v>
      </c>
      <c r="AA5" s="172" t="s">
        <v>178</v>
      </c>
      <c r="AC5" s="174" t="s">
        <v>0</v>
      </c>
      <c r="AD5" s="169" t="s">
        <v>5</v>
      </c>
      <c r="AE5" s="170" t="s">
        <v>1</v>
      </c>
      <c r="AF5" s="169" t="s">
        <v>5</v>
      </c>
      <c r="AG5" s="170" t="s">
        <v>2</v>
      </c>
      <c r="AH5" s="169" t="s">
        <v>5</v>
      </c>
      <c r="AI5" s="170" t="s">
        <v>0</v>
      </c>
      <c r="AJ5" s="170" t="s">
        <v>1</v>
      </c>
      <c r="AK5" s="170" t="s">
        <v>2</v>
      </c>
      <c r="AL5" s="170" t="s">
        <v>0</v>
      </c>
      <c r="AM5" s="170" t="s">
        <v>1</v>
      </c>
      <c r="AN5" s="170" t="s">
        <v>2</v>
      </c>
      <c r="AP5" s="156" t="s">
        <v>39</v>
      </c>
      <c r="AQ5" s="156" t="s">
        <v>0</v>
      </c>
      <c r="AR5" s="175" t="s">
        <v>175</v>
      </c>
      <c r="AS5" s="156" t="s">
        <v>183</v>
      </c>
      <c r="AT5" s="154" t="s">
        <v>181</v>
      </c>
      <c r="AU5" s="156" t="s">
        <v>175</v>
      </c>
    </row>
    <row r="6" spans="1:47" ht="15.75" customHeight="1">
      <c r="A6" s="266" t="s">
        <v>40</v>
      </c>
      <c r="B6" s="269" t="s">
        <v>10</v>
      </c>
      <c r="C6" s="176" t="s">
        <v>11</v>
      </c>
      <c r="D6" s="177">
        <f>SUMIFS(Flat_file!$I:$I,Flat_file!$B:$B,Result_summary!$C$1,Flat_file!$C:$C,"Men",Flat_file!$D:$D,"15-19",Flat_file!$E:$E,"E",Flat_file!$H:$H,"E",Flat_file!$G:$G,"Below")</f>
        <v>0</v>
      </c>
      <c r="E6" s="177">
        <f>SUMIFS(Flat_file!$I:$I,Flat_file!$B:$B,Result_summary!$C$1,Flat_file!$C:$C,"Men",Flat_file!$D:$D,"15-19",Flat_file!$E:$E,"E",Flat_file!$F:$F,"Yes",Flat_file!$H:$H,"E",Flat_file!$G:$G,"Below")</f>
        <v>0</v>
      </c>
      <c r="F6" s="177">
        <f>SUMIFS(Flat_file!$I:$I,Flat_file!$B:$B,Result_summary!$C$1,Flat_file!$C:$C,"Men",Flat_file!$D:$D,"20-24",Flat_file!$E:$E,"E",Flat_file!$H:$H,"E",Flat_file!$G:$G,"Below")</f>
        <v>0</v>
      </c>
      <c r="G6" s="177">
        <f>SUMIFS(Flat_file!$I:$I,Flat_file!$B:$B,Result_summary!$C$1,Flat_file!$C:$C,"Men",Flat_file!$D:$D,"20-24",Flat_file!$E:$E,"E",Flat_file!$F:$F,"Yes",Flat_file!$H:$H,"E",Flat_file!$G:$G,"Below")</f>
        <v>0</v>
      </c>
      <c r="H6" s="177">
        <f>SUMIFS(Flat_file!$I:$I,Flat_file!$B:$B,Result_summary!$C$1,Flat_file!$C:$C,"Men",Flat_file!$D:$D,"25-29",Flat_file!$E:$E,"E",Flat_file!$H:$H,"E",Flat_file!$G:$G,"Below")</f>
        <v>0</v>
      </c>
      <c r="I6" s="178">
        <f>SUMIFS(Flat_file!$I:$I,Flat_file!$B:$B,Result_summary!$C$1,Flat_file!$C:$C,"Men",Flat_file!$D:$D,"25-29",Flat_file!$E:$E,"E",Flat_file!$F:$F,"Yes",Flat_file!$H:$H,"E",Flat_file!$G:$G,"Below")</f>
        <v>0</v>
      </c>
      <c r="J6" s="178">
        <f>SUMIFS(Flat_file!$I:$I,Flat_file!$B:$B,Result_summary!$C$1,Flat_file!$C:$C,"Men",Flat_file!$D:$D,"15-19",Flat_file!$E:$E,"E",Flat_file!$H:$H,"U",Flat_file!$G:$G,"Below")</f>
        <v>0</v>
      </c>
      <c r="K6" s="178">
        <f>SUMIFS(Flat_file!$I:$I,Flat_file!$B:$B,Result_summary!$C$1,Flat_file!$C:$C,"Men",Flat_file!$D:$D,"20-24",Flat_file!$E:$E,"E",Flat_file!$H:$H,"U",Flat_file!$G:$G,"Below")</f>
        <v>0</v>
      </c>
      <c r="L6" s="178">
        <f>SUMIFS(Flat_file!$I:$I,Flat_file!$B:$B,Result_summary!$C$1,Flat_file!$C:$C,"Men",Flat_file!$D:$D,"25-29",Flat_file!$E:$E,"E",Flat_file!$H:$H,"U",Flat_file!$G:$G,"Below")</f>
        <v>0</v>
      </c>
      <c r="M6" s="178">
        <f>SUMIFS(Flat_file!$I:$I,Flat_file!$B:$B,Result_summary!$C$1,Flat_file!$C:$C,"Men",Flat_file!$D:$D,"15-19",Flat_file!$E:$E,"E",Flat_file!$H:$H,"I",Flat_file!$G:$G,"Below")</f>
        <v>0</v>
      </c>
      <c r="N6" s="178">
        <f>SUMIFS(Flat_file!$I:$I,Flat_file!$B:$B,Result_summary!$C$1,Flat_file!$C:$C,"Men",Flat_file!$D:$D,"20-24",Flat_file!$E:$E,"E",Flat_file!$H:$H,"I",Flat_file!$G:$G,"Below")</f>
        <v>0</v>
      </c>
      <c r="O6" s="179">
        <f>SUMIFS(Flat_file!$I:$I,Flat_file!$B:$B,Result_summary!$C$1,Flat_file!$C:$C,"Men",Flat_file!$D:$D,"25-29",Flat_file!$E:$E,"E",Flat_file!$H:$H,"I",Flat_file!$G:$G,"Below")</f>
        <v>0</v>
      </c>
      <c r="P6" s="180">
        <f t="shared" ref="P6:P23" si="0">D6+F6</f>
        <v>0</v>
      </c>
      <c r="Q6" s="180">
        <f t="shared" ref="Q6:Q23" si="1">E6+G6</f>
        <v>0</v>
      </c>
      <c r="R6" s="180">
        <f t="shared" ref="R6:R23" si="2">J6+K6</f>
        <v>0</v>
      </c>
      <c r="S6" s="180">
        <f t="shared" ref="S6:S23" si="3">M6+N6</f>
        <v>0</v>
      </c>
      <c r="T6" s="180">
        <f t="shared" ref="T6:T23" si="4">D6+F6+H6</f>
        <v>0</v>
      </c>
      <c r="U6" s="180">
        <f t="shared" ref="U6:U23" si="5">E6+G6+I6</f>
        <v>0</v>
      </c>
      <c r="V6" s="180">
        <f t="shared" ref="V6:V23" si="6">J6+K6+L6</f>
        <v>0</v>
      </c>
      <c r="W6" s="180">
        <f t="shared" ref="W6:W23" si="7">M6+N6+O6</f>
        <v>0</v>
      </c>
      <c r="X6" s="180">
        <f>SUMIFS(Flat_file!$I:$I,Flat_file!$B:$B,Result_summary!$C$1,Flat_file!$C:$C,"Men",Flat_file!$D:$D,"18-24",Flat_file!$E:$E,"E",Flat_file!$H:$H,"E",Flat_file!$G:$G,"Below")</f>
        <v>0</v>
      </c>
      <c r="Y6" s="180">
        <f>SUMIFS(Flat_file!$I:$I,Flat_file!$B:$B,Result_summary!$C$1,Flat_file!$C:$C,"Men",Flat_file!$D:$D,"18-24",Flat_file!$E:$E,"E",Flat_file!$F:$F,"Yes",Flat_file!$F:$F,"Yes",Flat_file!$H:$H,"E",Flat_file!$G:$G,"Below")</f>
        <v>0</v>
      </c>
      <c r="Z6" s="180">
        <f>SUMIFS(Flat_file!$I:$I,Flat_file!$B:$B,Result_summary!$C$1,Flat_file!$C:$C,"Men",Flat_file!$D:$D,"18-24",Flat_file!$E:$E,"E",Flat_file!$H:$H,"U",Flat_file!$G:$G,"Below")</f>
        <v>0</v>
      </c>
      <c r="AA6" s="180">
        <f>SUMIFS(Flat_file!$I:$I,Flat_file!$B:$B,Result_summary!$C$1,Flat_file!$C:$C,"Men",Flat_file!$D:$D,"18-24",Flat_file!$E:$E,"E",Flat_file!$H:$H,"I",Flat_file!$G:$G,"Below")</f>
        <v>0</v>
      </c>
      <c r="AC6" s="181">
        <f>SUMIFS(Flat_file!$J:$J,Flat_file!$B:$B,Result_summary!$C$1,Flat_file!$C:$C,"Men",Flat_file!$D:$D,"15-19",Flat_file!$E:$E,"E",Flat_file!$H:$H,"E",Flat_file!$G:$G,"Below")</f>
        <v>0</v>
      </c>
      <c r="AD6" s="178">
        <f>SUMIFS(Flat_file!$J:$J,Flat_file!$B:$B,Result_summary!$C$1,Flat_file!$C:$C,"Men",Flat_file!$D:$D,"15-19",Flat_file!$E:$E,"E",Flat_file!$F:$F,"Yes",Flat_file!$H:$H,"E",Flat_file!$G:$G,"Below")</f>
        <v>0</v>
      </c>
      <c r="AE6" s="178">
        <f>SUMIFS(Flat_file!$J:$J,Flat_file!$B:$B,Result_summary!$C$1,Flat_file!$C:$C,"Men",Flat_file!$D:$D,"20-24",Flat_file!$E:$E,"E",Flat_file!$H:$H,"E",Flat_file!$G:$G,"Below")</f>
        <v>0</v>
      </c>
      <c r="AF6" s="178">
        <f>SUMIFS(Flat_file!$J:$J,Flat_file!$B:$B,Result_summary!$C$1,Flat_file!$C:$C,"Men",Flat_file!$D:$D,"20-24",Flat_file!$E:$E,"E",Flat_file!$F:$F,"Yes",Flat_file!$H:$H,"E",Flat_file!$G:$G,"Below")</f>
        <v>0</v>
      </c>
      <c r="AG6" s="178">
        <f>SUMIFS(Flat_file!$J:$J,Flat_file!$B:$B,Result_summary!$C$1,Flat_file!$C:$C,"Men",Flat_file!$D:$D,"25-29",Flat_file!$E:$E,"E",Flat_file!$H:$H,"E",Flat_file!$G:$G,"Below")</f>
        <v>0</v>
      </c>
      <c r="AH6" s="178">
        <f>SUMIFS(Flat_file!$J:$J,Flat_file!$B:$B,Result_summary!$C$1,Flat_file!$C:$C,"Men",Flat_file!$D:$D,"25-29",Flat_file!$E:$E,"E",Flat_file!$F:$F,"Yes",Flat_file!$H:$H,"E",Flat_file!$G:$G,"Below")</f>
        <v>0</v>
      </c>
      <c r="AI6" s="178">
        <f>SUMIFS(Flat_file!$J:$J,Flat_file!$B:$B,Result_summary!$C$1,Flat_file!$C:$C,"Men",Flat_file!$D:$D,"15-19",Flat_file!$E:$E,"E",Flat_file!$H:$H,"U",Flat_file!$G:$G,"Below")</f>
        <v>0</v>
      </c>
      <c r="AJ6" s="178">
        <f>SUMIFS(Flat_file!$J:$J,Flat_file!$B:$B,Result_summary!$C$1,Flat_file!$C:$C,"Men",Flat_file!$D:$D,"20-24",Flat_file!$E:$E,"E",Flat_file!$H:$H,"U",Flat_file!$G:$G,"Below")</f>
        <v>0</v>
      </c>
      <c r="AK6" s="178">
        <f>SUMIFS(Flat_file!$J:$J,Flat_file!$B:$B,Result_summary!$C$1,Flat_file!$C:$C,"Men",Flat_file!$D:$D,"25-29",Flat_file!$E:$E,"E",Flat_file!$H:$H,"U",Flat_file!$G:$G,"Below")</f>
        <v>0</v>
      </c>
      <c r="AL6" s="178">
        <f>SUMIFS(Flat_file!$J:$J,Flat_file!$B:$B,Result_summary!$C$1,Flat_file!$C:$C,"Men",Flat_file!$D:$D,"15-19",Flat_file!$E:$E,"E",Flat_file!$H:$H,"I",Flat_file!$G:$G,"Below")</f>
        <v>0</v>
      </c>
      <c r="AM6" s="178">
        <f>SUMIFS(Flat_file!$J:$J,Flat_file!$B:$B,Result_summary!$C$1,Flat_file!$C:$C,"Men",Flat_file!$D:$D,"20-24",Flat_file!$E:$E,"E",Flat_file!$H:$H,"I",Flat_file!$G:$G,"Below")</f>
        <v>0</v>
      </c>
      <c r="AN6" s="178">
        <f>SUMIFS(Flat_file!$J:$J,Flat_file!$B:$B,Result_summary!$C$1,Flat_file!$C:$C,"Men",Flat_file!$D:$D,"25-29",Flat_file!$E:$E,"E",Flat_file!$H:$H,"I",Flat_file!$G:$G,"Below")</f>
        <v>0</v>
      </c>
      <c r="AP6" s="156" t="s">
        <v>40</v>
      </c>
      <c r="AQ6" s="156" t="s">
        <v>1</v>
      </c>
      <c r="AR6" s="175" t="s">
        <v>180</v>
      </c>
      <c r="AS6" s="156" t="s">
        <v>184</v>
      </c>
      <c r="AT6" s="154" t="s">
        <v>182</v>
      </c>
      <c r="AU6" s="156" t="s">
        <v>176</v>
      </c>
    </row>
    <row r="7" spans="1:47" ht="15.6" customHeight="1">
      <c r="A7" s="267"/>
      <c r="B7" s="270"/>
      <c r="C7" s="182" t="s">
        <v>12</v>
      </c>
      <c r="D7" s="183">
        <f>SUMIFS(Flat_file!$I:$I,Flat_file!$B:$B,Result_summary!$C$1,Flat_file!$C:$C,"Men",Flat_file!$D:$D,"15-19",Flat_file!$E:$E,"E",Flat_file!$H:$H,"E",Flat_file!$G:$G,"Upper")</f>
        <v>0</v>
      </c>
      <c r="E7" s="183">
        <f>SUMIFS(Flat_file!$I:$I,Flat_file!$B:$B,Result_summary!$C$1,Flat_file!$C:$C,"Men",Flat_file!$D:$D,"15-19",Flat_file!$E:$E,"E",Flat_file!$F:$F,"Yes",Flat_file!$H:$H,"E",Flat_file!$G:$G,"Upper")</f>
        <v>0</v>
      </c>
      <c r="F7" s="183">
        <f>SUMIFS(Flat_file!$I:$I,Flat_file!$B:$B,Result_summary!$C$1,Flat_file!$C:$C,"Men",Flat_file!$D:$D,"20-24",Flat_file!$E:$E,"E",Flat_file!$H:$H,"E",Flat_file!$G:$G,"Upper")</f>
        <v>0</v>
      </c>
      <c r="G7" s="183">
        <f>SUMIFS(Flat_file!$I:$I,Flat_file!$B:$B,Result_summary!$C$1,Flat_file!$C:$C,"Men",Flat_file!$D:$D,"20-24",Flat_file!$E:$E,"E",Flat_file!$F:$F,"Yes",Flat_file!$H:$H,"E",Flat_file!$G:$G,"Upper")</f>
        <v>0</v>
      </c>
      <c r="H7" s="183">
        <f>SUMIFS(Flat_file!$I:$I,Flat_file!$B:$B,Result_summary!$C$1,Flat_file!$C:$C,"Men",Flat_file!$D:$D,"25-29",Flat_file!$E:$E,"E",Flat_file!$H:$H,"E",Flat_file!$G:$G,"Upper")</f>
        <v>0</v>
      </c>
      <c r="I7" s="184">
        <f>SUMIFS(Flat_file!$I:$I,Flat_file!$B:$B,Result_summary!$C$1,Flat_file!$C:$C,"Men",Flat_file!$D:$D,"25-29",Flat_file!$E:$E,"E",Flat_file!$F:$F,"Yes",Flat_file!$H:$H,"E",Flat_file!$G:$G,"Upper")</f>
        <v>0</v>
      </c>
      <c r="J7" s="184">
        <f>SUMIFS(Flat_file!$I:$I,Flat_file!$B:$B,Result_summary!$C$1,Flat_file!$C:$C,"Men",Flat_file!$D:$D,"15-19",Flat_file!$E:$E,"E",Flat_file!$H:$H,"U",Flat_file!$G:$G,"Upper")</f>
        <v>0</v>
      </c>
      <c r="K7" s="184">
        <f>SUMIFS(Flat_file!$I:$I,Flat_file!$B:$B,Result_summary!$C$1,Flat_file!$C:$C,"Men",Flat_file!$D:$D,"20-24",Flat_file!$E:$E,"E",Flat_file!$H:$H,"U",Flat_file!$G:$G,"Upper")</f>
        <v>0</v>
      </c>
      <c r="L7" s="184">
        <f>SUMIFS(Flat_file!$I:$I,Flat_file!$B:$B,Result_summary!$C$1,Flat_file!$C:$C,"Men",Flat_file!$D:$D,"25-29",Flat_file!$E:$E,"E",Flat_file!$H:$H,"U",Flat_file!$G:$G,"Upper")</f>
        <v>0</v>
      </c>
      <c r="M7" s="184">
        <f>SUMIFS(Flat_file!$I:$I,Flat_file!$B:$B,Result_summary!$C$1,Flat_file!$C:$C,"Men",Flat_file!$D:$D,"15-19",Flat_file!$E:$E,"E",Flat_file!$H:$H,"I",Flat_file!$G:$G,"Upper")</f>
        <v>0</v>
      </c>
      <c r="N7" s="184">
        <f>SUMIFS(Flat_file!$I:$I,Flat_file!$B:$B,Result_summary!$C$1,Flat_file!$C:$C,"Men",Flat_file!$D:$D,"20-24",Flat_file!$E:$E,"E",Flat_file!$H:$H,"I",Flat_file!$G:$G,"Upper")</f>
        <v>0</v>
      </c>
      <c r="O7" s="185">
        <f>SUMIFS(Flat_file!$I:$I,Flat_file!$B:$B,Result_summary!$C$1,Flat_file!$C:$C,"Men",Flat_file!$D:$D,"25-29",Flat_file!$E:$E,"E",Flat_file!$H:$H,"I",Flat_file!$G:$G,"Upper")</f>
        <v>0</v>
      </c>
      <c r="P7" s="186">
        <f t="shared" si="0"/>
        <v>0</v>
      </c>
      <c r="Q7" s="186">
        <f t="shared" si="1"/>
        <v>0</v>
      </c>
      <c r="R7" s="186">
        <f t="shared" si="2"/>
        <v>0</v>
      </c>
      <c r="S7" s="186">
        <f t="shared" si="3"/>
        <v>0</v>
      </c>
      <c r="T7" s="186">
        <f t="shared" si="4"/>
        <v>0</v>
      </c>
      <c r="U7" s="186">
        <f t="shared" si="5"/>
        <v>0</v>
      </c>
      <c r="V7" s="186">
        <f t="shared" si="6"/>
        <v>0</v>
      </c>
      <c r="W7" s="186">
        <f t="shared" si="7"/>
        <v>0</v>
      </c>
      <c r="X7" s="186">
        <f>SUMIFS(Flat_file!$I:$I,Flat_file!$B:$B,Result_summary!$C$1,Flat_file!$C:$C,"Men",Flat_file!$D:$D,"18-24",Flat_file!$E:$E,"E",Flat_file!$H:$H,"E",Flat_file!$G:$G,"Upper")</f>
        <v>0</v>
      </c>
      <c r="Y7" s="186">
        <f>SUMIFS(Flat_file!$I:$I,Flat_file!$B:$B,Result_summary!$C$1,Flat_file!$C:$C,"Men",Flat_file!$D:$D,"18-24",Flat_file!$E:$E,"E",Flat_file!$F:$F,"Yes",Flat_file!$H:$H,"E",Flat_file!$G:$G,"Upper")</f>
        <v>0</v>
      </c>
      <c r="Z7" s="186">
        <f>SUMIFS(Flat_file!$I:$I,Flat_file!$B:$B,Result_summary!$C$1,Flat_file!$C:$C,"Men",Flat_file!$D:$D,"18-24",Flat_file!$E:$E,"E",Flat_file!$H:$H,"U",Flat_file!$G:$G,"Upper")</f>
        <v>0</v>
      </c>
      <c r="AA7" s="186">
        <f>SUMIFS(Flat_file!$I:$I,Flat_file!$B:$B,Result_summary!$C$1,Flat_file!$C:$C,"Men",Flat_file!$D:$D,"18-24",Flat_file!$E:$E,"E",Flat_file!$H:$H,"I",Flat_file!$G:$G,"Upper")</f>
        <v>0</v>
      </c>
      <c r="AC7" s="187">
        <f>SUMIFS(Flat_file!$J:$J,Flat_file!$B:$B,Result_summary!$C$1,Flat_file!$C:$C,"Men",Flat_file!$D:$D,"15-19",Flat_file!$E:$E,"E",Flat_file!$H:$H,"E",Flat_file!$G:$G,"Upper")</f>
        <v>0</v>
      </c>
      <c r="AD7" s="184">
        <f>SUMIFS(Flat_file!$J:$J,Flat_file!$B:$B,Result_summary!$C$1,Flat_file!$C:$C,"Men",Flat_file!$D:$D,"15-19",Flat_file!$E:$E,"E",Flat_file!$F:$F,"Yes",Flat_file!$H:$H,"E",Flat_file!$G:$G,"Upper")</f>
        <v>0</v>
      </c>
      <c r="AE7" s="184">
        <f>SUMIFS(Flat_file!$J:$J,Flat_file!$B:$B,Result_summary!$C$1,Flat_file!$C:$C,"Men",Flat_file!$D:$D,"20-24",Flat_file!$E:$E,"E",Flat_file!$H:$H,"E",Flat_file!$G:$G,"Upper")</f>
        <v>0</v>
      </c>
      <c r="AF7" s="184">
        <f>SUMIFS(Flat_file!$J:$J,Flat_file!$B:$B,Result_summary!$C$1,Flat_file!$C:$C,"Men",Flat_file!$D:$D,"20-24",Flat_file!$E:$E,"E",Flat_file!$F:$F,"Yes",Flat_file!$H:$H,"E",Flat_file!$G:$G,"Upper")</f>
        <v>0</v>
      </c>
      <c r="AG7" s="184">
        <f>SUMIFS(Flat_file!$J:$J,Flat_file!$B:$B,Result_summary!$C$1,Flat_file!$C:$C,"Men",Flat_file!$D:$D,"25-29",Flat_file!$E:$E,"E",Flat_file!$H:$H,"E",Flat_file!$G:$G,"Upper")</f>
        <v>0</v>
      </c>
      <c r="AH7" s="184">
        <f>SUMIFS(Flat_file!$J:$J,Flat_file!$B:$B,Result_summary!$C$1,Flat_file!$C:$C,"Men",Flat_file!$D:$D,"25-29",Flat_file!$E:$E,"E",Flat_file!$F:$F,"Yes",Flat_file!$H:$H,"E",Flat_file!$G:$G,"Upper")</f>
        <v>0</v>
      </c>
      <c r="AI7" s="184">
        <f>SUMIFS(Flat_file!$J:$J,Flat_file!$B:$B,Result_summary!$C$1,Flat_file!$C:$C,"Men",Flat_file!$D:$D,"15-19",Flat_file!$E:$E,"E",Flat_file!$H:$H,"U",Flat_file!$G:$G,"Upper")</f>
        <v>0</v>
      </c>
      <c r="AJ7" s="184">
        <f>SUMIFS(Flat_file!$J:$J,Flat_file!$B:$B,Result_summary!$C$1,Flat_file!$C:$C,"Men",Flat_file!$D:$D,"20-24",Flat_file!$E:$E,"E",Flat_file!$H:$H,"U",Flat_file!$G:$G,"Upper")</f>
        <v>0</v>
      </c>
      <c r="AK7" s="184">
        <f>SUMIFS(Flat_file!$J:$J,Flat_file!$B:$B,Result_summary!$C$1,Flat_file!$C:$C,"Men",Flat_file!$D:$D,"25-29",Flat_file!$E:$E,"E",Flat_file!$H:$H,"U",Flat_file!$G:$G,"Upper")</f>
        <v>0</v>
      </c>
      <c r="AL7" s="184">
        <f>SUMIFS(Flat_file!$J:$J,Flat_file!$B:$B,Result_summary!$C$1,Flat_file!$C:$C,"Men",Flat_file!$D:$D,"15-19",Flat_file!$E:$E,"E",Flat_file!$H:$H,"I",Flat_file!$G:$G,"Upper")</f>
        <v>0</v>
      </c>
      <c r="AM7" s="184">
        <f>SUMIFS(Flat_file!$J:$J,Flat_file!$B:$B,Result_summary!$C$1,Flat_file!$C:$C,"Men",Flat_file!$D:$D,"20-24",Flat_file!$E:$E,"E",Flat_file!$H:$H,"I",Flat_file!$G:$G,"Upper")</f>
        <v>0</v>
      </c>
      <c r="AN7" s="184">
        <f>SUMIFS(Flat_file!$J:$J,Flat_file!$B:$B,Result_summary!$C$1,Flat_file!$C:$C,"Men",Flat_file!$D:$D,"25-29",Flat_file!$E:$E,"E",Flat_file!$H:$H,"I",Flat_file!$G:$G,"Upper")</f>
        <v>0</v>
      </c>
      <c r="AP7" s="156"/>
      <c r="AQ7" s="156" t="s">
        <v>2</v>
      </c>
      <c r="AR7" s="175"/>
      <c r="AS7" s="156" t="s">
        <v>185</v>
      </c>
      <c r="AT7" s="155" t="s">
        <v>229</v>
      </c>
      <c r="AU7" s="156" t="s">
        <v>177</v>
      </c>
    </row>
    <row r="8" spans="1:47" ht="15.75" customHeight="1">
      <c r="A8" s="267"/>
      <c r="B8" s="270"/>
      <c r="C8" s="224" t="s">
        <v>227</v>
      </c>
      <c r="D8" s="183">
        <f>SUMIFS(Flat_file!$I:$I,Flat_file!$B:$B,Result_summary!$C$1,Flat_file!$C:$C,"Men",Flat_file!$D:$D,"15-19",Flat_file!$E:$E,"E",Flat_file!$H:$H,"E",Flat_file!$G:$G,"Upper - general")</f>
        <v>0</v>
      </c>
      <c r="E8" s="183">
        <f>SUMIFS(Flat_file!$I:$I,Flat_file!$B:$B,Result_summary!$C$1,Flat_file!$C:$C,"Men",Flat_file!$D:$D,"15-19",Flat_file!$E:$E,"E",Flat_file!$F:$F,"Yes",Flat_file!$H:$H,"E",Flat_file!$G:$G,"Upper - general")</f>
        <v>0</v>
      </c>
      <c r="F8" s="183">
        <f>SUMIFS(Flat_file!$I:$I,Flat_file!$B:$B,Result_summary!$C$1,Flat_file!$C:$C,"Men",Flat_file!$D:$D,"20-24",Flat_file!$E:$E,"E",Flat_file!$H:$H,"E",Flat_file!$G:$G,"Upper - general")</f>
        <v>0</v>
      </c>
      <c r="G8" s="183">
        <f>SUMIFS(Flat_file!$I:$I,Flat_file!$B:$B,Result_summary!$C$1,Flat_file!$C:$C,"Men",Flat_file!$D:$D,"20-24",Flat_file!$E:$E,"E",Flat_file!$F:$F,"Yes",Flat_file!$H:$H,"E",Flat_file!$G:$G,"Upper - general")</f>
        <v>0</v>
      </c>
      <c r="H8" s="183">
        <f>SUMIFS(Flat_file!$I:$I,Flat_file!$B:$B,Result_summary!$C$1,Flat_file!$C:$C,"Men",Flat_file!$D:$D,"25-29",Flat_file!$E:$E,"E",Flat_file!$H:$H,"E",Flat_file!$G:$G,"Upper - general")</f>
        <v>0</v>
      </c>
      <c r="I8" s="184">
        <f>SUMIFS(Flat_file!$I:$I,Flat_file!$B:$B,Result_summary!$C$1,Flat_file!$C:$C,"Men",Flat_file!$D:$D,"25-29",Flat_file!$E:$E,"E",Flat_file!$F:$F,"Yes",Flat_file!$H:$H,"E",Flat_file!$G:$G,"Upper - general")</f>
        <v>0</v>
      </c>
      <c r="J8" s="184">
        <f>SUMIFS(Flat_file!$I:$I,Flat_file!$B:$B,Result_summary!$C$1,Flat_file!$C:$C,"Men",Flat_file!$D:$D,"15-19",Flat_file!$E:$E,"E",Flat_file!$H:$H,"U",Flat_file!$G:$G,"Upper - general")</f>
        <v>0</v>
      </c>
      <c r="K8" s="184">
        <f>SUMIFS(Flat_file!$I:$I,Flat_file!$B:$B,Result_summary!$C$1,Flat_file!$C:$C,"Men",Flat_file!$D:$D,"20-24",Flat_file!$E:$E,"E",Flat_file!$H:$H,"U",Flat_file!$G:$G,"Upper - general")</f>
        <v>0</v>
      </c>
      <c r="L8" s="184">
        <f>SUMIFS(Flat_file!$I:$I,Flat_file!$B:$B,Result_summary!$C$1,Flat_file!$C:$C,"Men",Flat_file!$D:$D,"25-29",Flat_file!$E:$E,"E",Flat_file!$H:$H,"U",Flat_file!$G:$G,"Upper - general")</f>
        <v>0</v>
      </c>
      <c r="M8" s="184">
        <f>SUMIFS(Flat_file!$I:$I,Flat_file!$B:$B,Result_summary!$C$1,Flat_file!$C:$C,"Men",Flat_file!$D:$D,"15-19",Flat_file!$E:$E,"E",Flat_file!$H:$H,"I",Flat_file!$G:$G,"Upper - general")</f>
        <v>0</v>
      </c>
      <c r="N8" s="184">
        <f>SUMIFS(Flat_file!$I:$I,Flat_file!$B:$B,Result_summary!$C$1,Flat_file!$C:$C,"Men",Flat_file!$D:$D,"20-24",Flat_file!$E:$E,"E",Flat_file!$H:$H,"I",Flat_file!$G:$G,"Upper - general")</f>
        <v>0</v>
      </c>
      <c r="O8" s="185">
        <f>SUMIFS(Flat_file!$I:$I,Flat_file!$B:$B,Result_summary!$C$1,Flat_file!$C:$C,"Men",Flat_file!$D:$D,"25-29",Flat_file!$E:$E,"E",Flat_file!$H:$H,"I",Flat_file!$G:$G,"Upper - general")</f>
        <v>0</v>
      </c>
      <c r="P8" s="186">
        <f t="shared" ref="P8:P9" si="8">D8+F8</f>
        <v>0</v>
      </c>
      <c r="Q8" s="186">
        <f t="shared" ref="Q8:Q9" si="9">E8+G8</f>
        <v>0</v>
      </c>
      <c r="R8" s="186">
        <f t="shared" ref="R8:R9" si="10">J8+K8</f>
        <v>0</v>
      </c>
      <c r="S8" s="186">
        <f t="shared" ref="S8:S9" si="11">M8+N8</f>
        <v>0</v>
      </c>
      <c r="T8" s="186">
        <f t="shared" ref="T8:T9" si="12">D8+F8+H8</f>
        <v>0</v>
      </c>
      <c r="U8" s="186">
        <f t="shared" ref="U8:U9" si="13">E8+G8+I8</f>
        <v>0</v>
      </c>
      <c r="V8" s="186">
        <f t="shared" ref="V8:V9" si="14">J8+K8+L8</f>
        <v>0</v>
      </c>
      <c r="W8" s="186">
        <f t="shared" ref="W8:W9" si="15">M8+N8+O8</f>
        <v>0</v>
      </c>
      <c r="X8" s="186">
        <f>SUMIFS(Flat_file!$I:$I,Flat_file!$B:$B,Result_summary!$C$1,Flat_file!$C:$C,"Men",Flat_file!$D:$D,"18-24",Flat_file!$E:$E,"E",Flat_file!$H:$H,"E",Flat_file!$G:$G,"Upper - general")</f>
        <v>0</v>
      </c>
      <c r="Y8" s="186">
        <f>SUMIFS(Flat_file!$I:$I,Flat_file!$B:$B,Result_summary!$C$1,Flat_file!$C:$C,"Men",Flat_file!$D:$D,"18-24",Flat_file!$E:$E,"E",Flat_file!$F:$F,"Yes",Flat_file!$H:$H,"E",Flat_file!$G:$G,"Upper - general")</f>
        <v>0</v>
      </c>
      <c r="Z8" s="186">
        <f>SUMIFS(Flat_file!$I:$I,Flat_file!$B:$B,Result_summary!$C$1,Flat_file!$C:$C,"Men",Flat_file!$D:$D,"18-24",Flat_file!$E:$E,"E",Flat_file!$H:$H,"U",Flat_file!$G:$G,"Upper - general")</f>
        <v>0</v>
      </c>
      <c r="AA8" s="186">
        <f>SUMIFS(Flat_file!$I:$I,Flat_file!$B:$B,Result_summary!$C$1,Flat_file!$C:$C,"Men",Flat_file!$D:$D,"18-24",Flat_file!$E:$E,"E",Flat_file!$H:$H,"I",Flat_file!$G:$G,"Upper - general")</f>
        <v>0</v>
      </c>
      <c r="AC8" s="187">
        <f>SUMIFS(Flat_file!$J:$J,Flat_file!$B:$B,Result_summary!$C$1,Flat_file!$C:$C,"Men",Flat_file!$D:$D,"15-19",Flat_file!$E:$E,"E",Flat_file!$H:$H,"E",Flat_file!$G:$G,"Upper - general")</f>
        <v>0</v>
      </c>
      <c r="AD8" s="184">
        <f>SUMIFS(Flat_file!$J:$J,Flat_file!$B:$B,Result_summary!$C$1,Flat_file!$C:$C,"Men",Flat_file!$D:$D,"15-19",Flat_file!$E:$E,"E",Flat_file!$F:$F,"Yes",Flat_file!$H:$H,"E",Flat_file!$G:$G,"Upper - general")</f>
        <v>0</v>
      </c>
      <c r="AE8" s="184">
        <f>SUMIFS(Flat_file!$J:$J,Flat_file!$B:$B,Result_summary!$C$1,Flat_file!$C:$C,"Men",Flat_file!$D:$D,"20-24",Flat_file!$E:$E,"E",Flat_file!$H:$H,"E",Flat_file!$G:$G,"Upper - general")</f>
        <v>0</v>
      </c>
      <c r="AF8" s="184">
        <f>SUMIFS(Flat_file!$J:$J,Flat_file!$B:$B,Result_summary!$C$1,Flat_file!$C:$C,"Men",Flat_file!$D:$D,"20-24",Flat_file!$E:$E,"E",Flat_file!$F:$F,"Yes",Flat_file!$H:$H,"E",Flat_file!$G:$G,"Upper - general")</f>
        <v>0</v>
      </c>
      <c r="AG8" s="184">
        <f>SUMIFS(Flat_file!$J:$J,Flat_file!$B:$B,Result_summary!$C$1,Flat_file!$C:$C,"Men",Flat_file!$D:$D,"25-29",Flat_file!$E:$E,"E",Flat_file!$H:$H,"E",Flat_file!$G:$G,"Upper - general")</f>
        <v>0</v>
      </c>
      <c r="AH8" s="184">
        <f>SUMIFS(Flat_file!$J:$J,Flat_file!$B:$B,Result_summary!$C$1,Flat_file!$C:$C,"Men",Flat_file!$D:$D,"25-29",Flat_file!$E:$E,"E",Flat_file!$F:$F,"Yes",Flat_file!$H:$H,"E",Flat_file!$G:$G,"Upper - general")</f>
        <v>0</v>
      </c>
      <c r="AI8" s="184">
        <f>SUMIFS(Flat_file!$J:$J,Flat_file!$B:$B,Result_summary!$C$1,Flat_file!$C:$C,"Men",Flat_file!$D:$D,"15-19",Flat_file!$E:$E,"E",Flat_file!$H:$H,"U",Flat_file!$G:$G,"Upper - general")</f>
        <v>0</v>
      </c>
      <c r="AJ8" s="184">
        <f>SUMIFS(Flat_file!$J:$J,Flat_file!$B:$B,Result_summary!$C$1,Flat_file!$C:$C,"Men",Flat_file!$D:$D,"20-24",Flat_file!$E:$E,"E",Flat_file!$H:$H,"U",Flat_file!$G:$G,"Upper - general")</f>
        <v>0</v>
      </c>
      <c r="AK8" s="184">
        <f>SUMIFS(Flat_file!$J:$J,Flat_file!$B:$B,Result_summary!$C$1,Flat_file!$C:$C,"Men",Flat_file!$D:$D,"25-29",Flat_file!$E:$E,"E",Flat_file!$H:$H,"U",Flat_file!$G:$G,"Upper - general")</f>
        <v>0</v>
      </c>
      <c r="AL8" s="184">
        <f>SUMIFS(Flat_file!$J:$J,Flat_file!$B:$B,Result_summary!$C$1,Flat_file!$C:$C,"Men",Flat_file!$D:$D,"15-19",Flat_file!$E:$E,"E",Flat_file!$H:$H,"I",Flat_file!$G:$G,"Upper - general")</f>
        <v>0</v>
      </c>
      <c r="AM8" s="184">
        <f>SUMIFS(Flat_file!$J:$J,Flat_file!$B:$B,Result_summary!$C$1,Flat_file!$C:$C,"Men",Flat_file!$D:$D,"20-24",Flat_file!$E:$E,"E",Flat_file!$H:$H,"I",Flat_file!$G:$G,"Upper - general")</f>
        <v>0</v>
      </c>
      <c r="AN8" s="184">
        <f>SUMIFS(Flat_file!$J:$J,Flat_file!$B:$B,Result_summary!$C$1,Flat_file!$C:$C,"Men",Flat_file!$D:$D,"25-29",Flat_file!$E:$E,"E",Flat_file!$H:$H,"I",Flat_file!$G:$G,"Upper - general")</f>
        <v>0</v>
      </c>
      <c r="AP8" s="156"/>
      <c r="AQ8" s="156" t="s">
        <v>178</v>
      </c>
      <c r="AR8" s="188"/>
      <c r="AS8" s="156" t="s">
        <v>186</v>
      </c>
      <c r="AT8" s="156" t="s">
        <v>230</v>
      </c>
      <c r="AU8" s="156"/>
    </row>
    <row r="9" spans="1:47" ht="15.75" customHeight="1">
      <c r="A9" s="267"/>
      <c r="B9" s="270"/>
      <c r="C9" s="224" t="s">
        <v>228</v>
      </c>
      <c r="D9" s="183">
        <f>SUMIFS(Flat_file!$I:$I,Flat_file!$B:$B,Result_summary!$C$1,Flat_file!$C:$C,"Men",Flat_file!$D:$D,"15-19",Flat_file!$E:$E,"E",Flat_file!$H:$H,"E",Flat_file!$G:$G,"Upper - vocational")</f>
        <v>0</v>
      </c>
      <c r="E9" s="183">
        <f>SUMIFS(Flat_file!$I:$I,Flat_file!$B:$B,Result_summary!$C$1,Flat_file!$C:$C,"Men",Flat_file!$D:$D,"15-19",Flat_file!$E:$E,"E",Flat_file!$F:$F,"Yes",Flat_file!$H:$H,"E",Flat_file!$G:$G,"Upper - vocational")</f>
        <v>0</v>
      </c>
      <c r="F9" s="183">
        <f>SUMIFS(Flat_file!$I:$I,Flat_file!$B:$B,Result_summary!$C$1,Flat_file!$C:$C,"Men",Flat_file!$D:$D,"20-24",Flat_file!$E:$E,"E",Flat_file!$H:$H,"E",Flat_file!$G:$G,"Upper - vocational")</f>
        <v>0</v>
      </c>
      <c r="G9" s="183">
        <f>SUMIFS(Flat_file!$I:$I,Flat_file!$B:$B,Result_summary!$C$1,Flat_file!$C:$C,"Men",Flat_file!$D:$D,"20-24",Flat_file!$E:$E,"E",Flat_file!$F:$F,"Yes",Flat_file!$H:$H,"E",Flat_file!$G:$G,"Upper - vocational")</f>
        <v>0</v>
      </c>
      <c r="H9" s="183">
        <f>SUMIFS(Flat_file!$I:$I,Flat_file!$B:$B,Result_summary!$C$1,Flat_file!$C:$C,"Men",Flat_file!$D:$D,"25-29",Flat_file!$E:$E,"E",Flat_file!$H:$H,"E",Flat_file!$G:$G,"Upper - vocational")</f>
        <v>0</v>
      </c>
      <c r="I9" s="184">
        <f>SUMIFS(Flat_file!$I:$I,Flat_file!$B:$B,Result_summary!$C$1,Flat_file!$C:$C,"Men",Flat_file!$D:$D,"25-29",Flat_file!$E:$E,"E",Flat_file!$F:$F,"Yes",Flat_file!$H:$H,"E",Flat_file!$G:$G,"Upper - vocational")</f>
        <v>0</v>
      </c>
      <c r="J9" s="184">
        <f>SUMIFS(Flat_file!$I:$I,Flat_file!$B:$B,Result_summary!$C$1,Flat_file!$C:$C,"Men",Flat_file!$D:$D,"15-19",Flat_file!$E:$E,"E",Flat_file!$H:$H,"U",Flat_file!$G:$G,"Upper - vocational")</f>
        <v>0</v>
      </c>
      <c r="K9" s="184">
        <f>SUMIFS(Flat_file!$I:$I,Flat_file!$B:$B,Result_summary!$C$1,Flat_file!$C:$C,"Men",Flat_file!$D:$D,"20-24",Flat_file!$E:$E,"E",Flat_file!$H:$H,"U",Flat_file!$G:$G,"Upper - vocational")</f>
        <v>0</v>
      </c>
      <c r="L9" s="184">
        <f>SUMIFS(Flat_file!$I:$I,Flat_file!$B:$B,Result_summary!$C$1,Flat_file!$C:$C,"Men",Flat_file!$D:$D,"25-29",Flat_file!$E:$E,"E",Flat_file!$H:$H,"U",Flat_file!$G:$G,"Upper - vocational")</f>
        <v>0</v>
      </c>
      <c r="M9" s="184">
        <f>SUMIFS(Flat_file!$I:$I,Flat_file!$B:$B,Result_summary!$C$1,Flat_file!$C:$C,"Men",Flat_file!$D:$D,"15-19",Flat_file!$E:$E,"E",Flat_file!$H:$H,"I",Flat_file!$G:$G,"Upper - vocational")</f>
        <v>0</v>
      </c>
      <c r="N9" s="184">
        <f>SUMIFS(Flat_file!$I:$I,Flat_file!$B:$B,Result_summary!$C$1,Flat_file!$C:$C,"Men",Flat_file!$D:$D,"20-24",Flat_file!$E:$E,"E",Flat_file!$H:$H,"I",Flat_file!$G:$G,"Upper - vocational")</f>
        <v>0</v>
      </c>
      <c r="O9" s="185">
        <f>SUMIFS(Flat_file!$I:$I,Flat_file!$B:$B,Result_summary!$C$1,Flat_file!$C:$C,"Men",Flat_file!$D:$D,"25-29",Flat_file!$E:$E,"E",Flat_file!$H:$H,"I",Flat_file!$G:$G,"Upper - vocational")</f>
        <v>0</v>
      </c>
      <c r="P9" s="186">
        <f t="shared" si="8"/>
        <v>0</v>
      </c>
      <c r="Q9" s="186">
        <f t="shared" si="9"/>
        <v>0</v>
      </c>
      <c r="R9" s="186">
        <f t="shared" si="10"/>
        <v>0</v>
      </c>
      <c r="S9" s="186">
        <f t="shared" si="11"/>
        <v>0</v>
      </c>
      <c r="T9" s="186">
        <f t="shared" si="12"/>
        <v>0</v>
      </c>
      <c r="U9" s="186">
        <f t="shared" si="13"/>
        <v>0</v>
      </c>
      <c r="V9" s="186">
        <f t="shared" si="14"/>
        <v>0</v>
      </c>
      <c r="W9" s="186">
        <f t="shared" si="15"/>
        <v>0</v>
      </c>
      <c r="X9" s="186">
        <f>SUMIFS(Flat_file!$I:$I,Flat_file!$B:$B,Result_summary!$C$1,Flat_file!$C:$C,"Men",Flat_file!$D:$D,"18-24",Flat_file!$E:$E,"E",Flat_file!$H:$H,"E",Flat_file!$G:$G,"Upper - vocational")</f>
        <v>0</v>
      </c>
      <c r="Y9" s="186">
        <f>SUMIFS(Flat_file!$I:$I,Flat_file!$B:$B,Result_summary!$C$1,Flat_file!$C:$C,"Men",Flat_file!$D:$D,"18-24",Flat_file!$E:$E,"E",Flat_file!$F:$F,"Yes",Flat_file!$H:$H,"E",Flat_file!$G:$G,"Upper - vocational")</f>
        <v>0</v>
      </c>
      <c r="Z9" s="186">
        <f>SUMIFS(Flat_file!$I:$I,Flat_file!$B:$B,Result_summary!$C$1,Flat_file!$C:$C,"Men",Flat_file!$D:$D,"18-24",Flat_file!$E:$E,"E",Flat_file!$H:$H,"U",Flat_file!$G:$G,"Upper - vocational")</f>
        <v>0</v>
      </c>
      <c r="AA9" s="186">
        <f>SUMIFS(Flat_file!$I:$I,Flat_file!$B:$B,Result_summary!$C$1,Flat_file!$C:$C,"Men",Flat_file!$D:$D,"18-24",Flat_file!$E:$E,"E",Flat_file!$H:$H,"I",Flat_file!$G:$G,"Upper - vocational")</f>
        <v>0</v>
      </c>
      <c r="AC9" s="187">
        <f>SUMIFS(Flat_file!$J:$J,Flat_file!$B:$B,Result_summary!$C$1,Flat_file!$C:$C,"Men",Flat_file!$D:$D,"15-19",Flat_file!$E:$E,"E",Flat_file!$H:$H,"E",Flat_file!$G:$G,"Upper - vocational")</f>
        <v>0</v>
      </c>
      <c r="AD9" s="184">
        <f>SUMIFS(Flat_file!$J:$J,Flat_file!$B:$B,Result_summary!$C$1,Flat_file!$C:$C,"Men",Flat_file!$D:$D,"15-19",Flat_file!$E:$E,"E",Flat_file!$F:$F,"Yes",Flat_file!$H:$H,"E",Flat_file!$G:$G,"Upper - vocational")</f>
        <v>0</v>
      </c>
      <c r="AE9" s="184">
        <f>SUMIFS(Flat_file!$J:$J,Flat_file!$B:$B,Result_summary!$C$1,Flat_file!$C:$C,"Men",Flat_file!$D:$D,"20-24",Flat_file!$E:$E,"E",Flat_file!$H:$H,"E",Flat_file!$G:$G,"Upper - vocational")</f>
        <v>0</v>
      </c>
      <c r="AF9" s="184">
        <f>SUMIFS(Flat_file!$J:$J,Flat_file!$B:$B,Result_summary!$C$1,Flat_file!$C:$C,"Men",Flat_file!$D:$D,"20-24",Flat_file!$E:$E,"E",Flat_file!$F:$F,"Yes",Flat_file!$H:$H,"E",Flat_file!$G:$G,"Upper - vocational")</f>
        <v>0</v>
      </c>
      <c r="AG9" s="184">
        <f>SUMIFS(Flat_file!$J:$J,Flat_file!$B:$B,Result_summary!$C$1,Flat_file!$C:$C,"Men",Flat_file!$D:$D,"25-29",Flat_file!$E:$E,"E",Flat_file!$H:$H,"E",Flat_file!$G:$G,"Upper - vocational")</f>
        <v>0</v>
      </c>
      <c r="AH9" s="184">
        <f>SUMIFS(Flat_file!$J:$J,Flat_file!$B:$B,Result_summary!$C$1,Flat_file!$C:$C,"Men",Flat_file!$D:$D,"25-29",Flat_file!$E:$E,"E",Flat_file!$F:$F,"Yes",Flat_file!$H:$H,"E",Flat_file!$G:$G,"Upper - vocational")</f>
        <v>0</v>
      </c>
      <c r="AI9" s="184">
        <f>SUMIFS(Flat_file!$J:$J,Flat_file!$B:$B,Result_summary!$C$1,Flat_file!$C:$C,"Men",Flat_file!$D:$D,"15-19",Flat_file!$E:$E,"E",Flat_file!$H:$H,"U",Flat_file!$G:$G,"Upper - vocational")</f>
        <v>0</v>
      </c>
      <c r="AJ9" s="184">
        <f>SUMIFS(Flat_file!$J:$J,Flat_file!$B:$B,Result_summary!$C$1,Flat_file!$C:$C,"Men",Flat_file!$D:$D,"20-24",Flat_file!$E:$E,"E",Flat_file!$H:$H,"U",Flat_file!$G:$G,"Upper - vocational")</f>
        <v>0</v>
      </c>
      <c r="AK9" s="184">
        <f>SUMIFS(Flat_file!$J:$J,Flat_file!$B:$B,Result_summary!$C$1,Flat_file!$C:$C,"Men",Flat_file!$D:$D,"25-29",Flat_file!$E:$E,"E",Flat_file!$H:$H,"U",Flat_file!$G:$G,"Upper - vocational")</f>
        <v>0</v>
      </c>
      <c r="AL9" s="184">
        <f>SUMIFS(Flat_file!$J:$J,Flat_file!$B:$B,Result_summary!$C$1,Flat_file!$C:$C,"Men",Flat_file!$D:$D,"15-19",Flat_file!$E:$E,"E",Flat_file!$H:$H,"I",Flat_file!$G:$G,"Upper - vocational")</f>
        <v>0</v>
      </c>
      <c r="AM9" s="184">
        <f>SUMIFS(Flat_file!$J:$J,Flat_file!$B:$B,Result_summary!$C$1,Flat_file!$C:$C,"Men",Flat_file!$D:$D,"20-24",Flat_file!$E:$E,"E",Flat_file!$H:$H,"I",Flat_file!$G:$G,"Upper - vocational")</f>
        <v>0</v>
      </c>
      <c r="AN9" s="184">
        <f>SUMIFS(Flat_file!$J:$J,Flat_file!$B:$B,Result_summary!$C$1,Flat_file!$C:$C,"Men",Flat_file!$D:$D,"25-29",Flat_file!$E:$E,"E",Flat_file!$H:$H,"I",Flat_file!$G:$G,"Upper - vocational")</f>
        <v>0</v>
      </c>
      <c r="AP9" s="154"/>
      <c r="AQ9" s="154" t="s">
        <v>179</v>
      </c>
      <c r="AR9" s="189"/>
      <c r="AS9" s="154"/>
      <c r="AT9" s="154" t="s">
        <v>9</v>
      </c>
      <c r="AU9" s="154"/>
    </row>
    <row r="10" spans="1:47" ht="15.75" customHeight="1">
      <c r="A10" s="267"/>
      <c r="B10" s="270"/>
      <c r="C10" s="182" t="s">
        <v>9</v>
      </c>
      <c r="D10" s="183">
        <f>SUMIFS(Flat_file!$I:$I,Flat_file!$B:$B,Result_summary!$C$1,Flat_file!$C:$C,"Men",Flat_file!$D:$D,"15-19",Flat_file!$E:$E,"E",Flat_file!$H:$H,"E",Flat_file!$G:$G,"Tertiary")</f>
        <v>0</v>
      </c>
      <c r="E10" s="183">
        <f>SUMIFS(Flat_file!$I:$I,Flat_file!$B:$B,Result_summary!$C$1,Flat_file!$C:$C,"Men",Flat_file!$D:$D,"15-19",Flat_file!$E:$E,"E",Flat_file!$F:$F,"Yes",Flat_file!$H:$H,"E",Flat_file!$G:$G,"Tertiary")</f>
        <v>0</v>
      </c>
      <c r="F10" s="183">
        <f>SUMIFS(Flat_file!$I:$I,Flat_file!$B:$B,Result_summary!$C$1,Flat_file!$C:$C,"Men",Flat_file!$D:$D,"20-24",Flat_file!$E:$E,"E",Flat_file!$H:$H,"E",Flat_file!$G:$G,"Tertiary")</f>
        <v>0</v>
      </c>
      <c r="G10" s="183">
        <f>SUMIFS(Flat_file!$I:$I,Flat_file!$B:$B,Result_summary!$C$1,Flat_file!$C:$C,"Men",Flat_file!$D:$D,"20-24",Flat_file!$E:$E,"E",Flat_file!$F:$F,"Yes",Flat_file!$H:$H,"E",Flat_file!$G:$G,"Tertiary")</f>
        <v>0</v>
      </c>
      <c r="H10" s="183">
        <f>SUMIFS(Flat_file!$I:$I,Flat_file!$B:$B,Result_summary!$C$1,Flat_file!$C:$C,"Men",Flat_file!$D:$D,"25-29",Flat_file!$E:$E,"E",Flat_file!$H:$H,"E",Flat_file!$G:$G,"Tertiary")</f>
        <v>0</v>
      </c>
      <c r="I10" s="184">
        <f>SUMIFS(Flat_file!$I:$I,Flat_file!$B:$B,Result_summary!$C$1,Flat_file!$C:$C,"Men",Flat_file!$D:$D,"25-29",Flat_file!$E:$E,"E",Flat_file!$F:$F,"Yes",Flat_file!$H:$H,"E",Flat_file!$G:$G,"Tertiary")</f>
        <v>0</v>
      </c>
      <c r="J10" s="184">
        <f>SUMIFS(Flat_file!$I:$I,Flat_file!$B:$B,Result_summary!$C$1,Flat_file!$C:$C,"Men",Flat_file!$D:$D,"15-19",Flat_file!$E:$E,"E",Flat_file!$H:$H,"U",Flat_file!$G:$G,"Tertiary")</f>
        <v>0</v>
      </c>
      <c r="K10" s="184">
        <f>SUMIFS(Flat_file!$I:$I,Flat_file!$B:$B,Result_summary!$C$1,Flat_file!$C:$C,"Men",Flat_file!$D:$D,"20-24",Flat_file!$E:$E,"E",Flat_file!$H:$H,"U",Flat_file!$G:$G,"Tertiary")</f>
        <v>0</v>
      </c>
      <c r="L10" s="184">
        <f>SUMIFS(Flat_file!$I:$I,Flat_file!$B:$B,Result_summary!$C$1,Flat_file!$C:$C,"Men",Flat_file!$D:$D,"25-29",Flat_file!$E:$E,"E",Flat_file!$H:$H,"U",Flat_file!$G:$G,"Tertiary")</f>
        <v>0</v>
      </c>
      <c r="M10" s="184">
        <f>SUMIFS(Flat_file!$I:$I,Flat_file!$B:$B,Result_summary!$C$1,Flat_file!$C:$C,"Men",Flat_file!$D:$D,"15-19",Flat_file!$E:$E,"E",Flat_file!$H:$H,"I",Flat_file!$G:$G,"Tertiary")</f>
        <v>0</v>
      </c>
      <c r="N10" s="184">
        <f>SUMIFS(Flat_file!$I:$I,Flat_file!$B:$B,Result_summary!$C$1,Flat_file!$C:$C,"Men",Flat_file!$D:$D,"20-24",Flat_file!$E:$E,"E",Flat_file!$H:$H,"I",Flat_file!$G:$G,"Tertiary")</f>
        <v>0</v>
      </c>
      <c r="O10" s="185">
        <f>SUMIFS(Flat_file!$I:$I,Flat_file!$B:$B,Result_summary!$C$1,Flat_file!$C:$C,"Men",Flat_file!$D:$D,"25-29",Flat_file!$E:$E,"E",Flat_file!$H:$H,"I",Flat_file!$G:$G,"Tertiary")</f>
        <v>0</v>
      </c>
      <c r="P10" s="186">
        <f t="shared" si="0"/>
        <v>0</v>
      </c>
      <c r="Q10" s="186">
        <f t="shared" si="1"/>
        <v>0</v>
      </c>
      <c r="R10" s="186">
        <f t="shared" si="2"/>
        <v>0</v>
      </c>
      <c r="S10" s="186">
        <f t="shared" si="3"/>
        <v>0</v>
      </c>
      <c r="T10" s="186">
        <f t="shared" si="4"/>
        <v>0</v>
      </c>
      <c r="U10" s="186">
        <f t="shared" si="5"/>
        <v>0</v>
      </c>
      <c r="V10" s="186">
        <f t="shared" si="6"/>
        <v>0</v>
      </c>
      <c r="W10" s="186">
        <f t="shared" si="7"/>
        <v>0</v>
      </c>
      <c r="X10" s="186">
        <f>SUMIFS(Flat_file!$I:$I,Flat_file!$B:$B,Result_summary!$C$1,Flat_file!$C:$C,"Men",Flat_file!$D:$D,"18-24",Flat_file!$E:$E,"E",Flat_file!$H:$H,"E",Flat_file!$G:$G,"Tertiary")</f>
        <v>0</v>
      </c>
      <c r="Y10" s="186">
        <f>SUMIFS(Flat_file!$I:$I,Flat_file!$B:$B,Result_summary!$C$1,Flat_file!$C:$C,"Men",Flat_file!$D:$D,"18-24",Flat_file!$E:$E,"E",Flat_file!$F:$F,"Yes",Flat_file!$H:$H,"E",Flat_file!$G:$G,"Tertiary")</f>
        <v>0</v>
      </c>
      <c r="Z10" s="186">
        <f>SUMIFS(Flat_file!$I:$I,Flat_file!$B:$B,Result_summary!$C$1,Flat_file!$C:$C,"Men",Flat_file!$D:$D,"18-24",Flat_file!$E:$E,"E",Flat_file!$H:$H,"U",Flat_file!$G:$G,"Tertiary")</f>
        <v>0</v>
      </c>
      <c r="AA10" s="186">
        <f>SUMIFS(Flat_file!$I:$I,Flat_file!$B:$B,Result_summary!$C$1,Flat_file!$C:$C,"Men",Flat_file!$D:$D,"18-24",Flat_file!$E:$E,"E",Flat_file!$H:$H,"I",Flat_file!$G:$G,"Tertiary")</f>
        <v>0</v>
      </c>
      <c r="AC10" s="187">
        <f>SUMIFS(Flat_file!$J:$J,Flat_file!$B:$B,Result_summary!$C$1,Flat_file!$C:$C,"Men",Flat_file!$D:$D,"15-19",Flat_file!$E:$E,"E",Flat_file!$H:$H,"E",Flat_file!$G:$G,"Tertiary")</f>
        <v>0</v>
      </c>
      <c r="AD10" s="184">
        <f>SUMIFS(Flat_file!$J:$J,Flat_file!$B:$B,Result_summary!$C$1,Flat_file!$C:$C,"Men",Flat_file!$D:$D,"15-19",Flat_file!$E:$E,"E",Flat_file!$F:$F,"Yes",Flat_file!$H:$H,"E",Flat_file!$G:$G,"Tertiary")</f>
        <v>0</v>
      </c>
      <c r="AE10" s="184">
        <f>SUMIFS(Flat_file!$J:$J,Flat_file!$B:$B,Result_summary!$C$1,Flat_file!$C:$C,"Men",Flat_file!$D:$D,"20-24",Flat_file!$E:$E,"E",Flat_file!$H:$H,"E",Flat_file!$G:$G,"Tertiary")</f>
        <v>0</v>
      </c>
      <c r="AF10" s="184">
        <f>SUMIFS(Flat_file!$J:$J,Flat_file!$B:$B,Result_summary!$C$1,Flat_file!$C:$C,"Men",Flat_file!$D:$D,"20-24",Flat_file!$E:$E,"E",Flat_file!$F:$F,"Yes",Flat_file!$H:$H,"E",Flat_file!$G:$G,"Tertiary")</f>
        <v>0</v>
      </c>
      <c r="AG10" s="184">
        <f>SUMIFS(Flat_file!$J:$J,Flat_file!$B:$B,Result_summary!$C$1,Flat_file!$C:$C,"Men",Flat_file!$D:$D,"25-29",Flat_file!$E:$E,"E",Flat_file!$H:$H,"E",Flat_file!$G:$G,"Tertiary")</f>
        <v>0</v>
      </c>
      <c r="AH10" s="184">
        <f>SUMIFS(Flat_file!$J:$J,Flat_file!$B:$B,Result_summary!$C$1,Flat_file!$C:$C,"Men",Flat_file!$D:$D,"25-29",Flat_file!$E:$E,"E",Flat_file!$F:$F,"Yes",Flat_file!$H:$H,"E",Flat_file!$G:$G,"Tertiary")</f>
        <v>0</v>
      </c>
      <c r="AI10" s="184">
        <f>SUMIFS(Flat_file!$J:$J,Flat_file!$B:$B,Result_summary!$C$1,Flat_file!$C:$C,"Men",Flat_file!$D:$D,"15-19",Flat_file!$E:$E,"E",Flat_file!$H:$H,"U",Flat_file!$G:$G,"Tertiary")</f>
        <v>0</v>
      </c>
      <c r="AJ10" s="184">
        <f>SUMIFS(Flat_file!$J:$J,Flat_file!$B:$B,Result_summary!$C$1,Flat_file!$C:$C,"Men",Flat_file!$D:$D,"20-24",Flat_file!$E:$E,"E",Flat_file!$H:$H,"U",Flat_file!$G:$G,"Tertiary")</f>
        <v>0</v>
      </c>
      <c r="AK10" s="184">
        <f>SUMIFS(Flat_file!$J:$J,Flat_file!$B:$B,Result_summary!$C$1,Flat_file!$C:$C,"Men",Flat_file!$D:$D,"25-29",Flat_file!$E:$E,"E",Flat_file!$H:$H,"U",Flat_file!$G:$G,"Tertiary")</f>
        <v>0</v>
      </c>
      <c r="AL10" s="184">
        <f>SUMIFS(Flat_file!$J:$J,Flat_file!$B:$B,Result_summary!$C$1,Flat_file!$C:$C,"Men",Flat_file!$D:$D,"15-19",Flat_file!$E:$E,"E",Flat_file!$H:$H,"I",Flat_file!$G:$G,"Tertiary")</f>
        <v>0</v>
      </c>
      <c r="AM10" s="184">
        <f>SUMIFS(Flat_file!$J:$J,Flat_file!$B:$B,Result_summary!$C$1,Flat_file!$C:$C,"Men",Flat_file!$D:$D,"20-24",Flat_file!$E:$E,"E",Flat_file!$H:$H,"I",Flat_file!$G:$G,"Tertiary")</f>
        <v>0</v>
      </c>
      <c r="AN10" s="184">
        <f>SUMIFS(Flat_file!$J:$J,Flat_file!$B:$B,Result_summary!$C$1,Flat_file!$C:$C,"Men",Flat_file!$D:$D,"25-29",Flat_file!$E:$E,"E",Flat_file!$H:$H,"I",Flat_file!$G:$G,"Tertiary")</f>
        <v>0</v>
      </c>
    </row>
    <row r="11" spans="1:47" s="194" customFormat="1" ht="15.75" customHeight="1" thickBot="1">
      <c r="A11" s="272"/>
      <c r="B11" s="270"/>
      <c r="C11" s="190" t="s">
        <v>53</v>
      </c>
      <c r="D11" s="191">
        <f>SUM(D6,D7,D10)</f>
        <v>0</v>
      </c>
      <c r="E11" s="191">
        <f t="shared" ref="E11:AC11" si="16">SUM(E6,E7,E10)</f>
        <v>0</v>
      </c>
      <c r="F11" s="191">
        <f t="shared" si="16"/>
        <v>0</v>
      </c>
      <c r="G11" s="191">
        <f t="shared" si="16"/>
        <v>0</v>
      </c>
      <c r="H11" s="191">
        <f t="shared" si="16"/>
        <v>0</v>
      </c>
      <c r="I11" s="191">
        <f t="shared" si="16"/>
        <v>0</v>
      </c>
      <c r="J11" s="191">
        <f t="shared" si="16"/>
        <v>0</v>
      </c>
      <c r="K11" s="191">
        <f t="shared" si="16"/>
        <v>0</v>
      </c>
      <c r="L11" s="191">
        <f t="shared" si="16"/>
        <v>0</v>
      </c>
      <c r="M11" s="191">
        <f t="shared" si="16"/>
        <v>0</v>
      </c>
      <c r="N11" s="191">
        <f t="shared" si="16"/>
        <v>0</v>
      </c>
      <c r="O11" s="192">
        <f t="shared" si="16"/>
        <v>0</v>
      </c>
      <c r="P11" s="186">
        <f t="shared" si="0"/>
        <v>0</v>
      </c>
      <c r="Q11" s="186">
        <f t="shared" si="1"/>
        <v>0</v>
      </c>
      <c r="R11" s="186">
        <f t="shared" si="2"/>
        <v>0</v>
      </c>
      <c r="S11" s="186">
        <f t="shared" si="3"/>
        <v>0</v>
      </c>
      <c r="T11" s="186">
        <f t="shared" ref="T11" si="17">D11+F11+H11</f>
        <v>0</v>
      </c>
      <c r="U11" s="186">
        <f t="shared" ref="U11" si="18">E11+G11+I11</f>
        <v>0</v>
      </c>
      <c r="V11" s="186">
        <f t="shared" ref="V11" si="19">J11+K11+L11</f>
        <v>0</v>
      </c>
      <c r="W11" s="186">
        <f t="shared" ref="W11" si="20">M11+N11+O11</f>
        <v>0</v>
      </c>
      <c r="X11" s="193">
        <f t="shared" si="16"/>
        <v>0</v>
      </c>
      <c r="Y11" s="193">
        <f t="shared" si="16"/>
        <v>0</v>
      </c>
      <c r="Z11" s="193">
        <f t="shared" si="16"/>
        <v>0</v>
      </c>
      <c r="AA11" s="193">
        <f t="shared" si="16"/>
        <v>0</v>
      </c>
      <c r="AC11" s="195">
        <f t="shared" si="16"/>
        <v>0</v>
      </c>
      <c r="AD11" s="191">
        <f t="shared" ref="AD11" si="21">SUM(AD6,AD7,AD10)</f>
        <v>0</v>
      </c>
      <c r="AE11" s="191">
        <f t="shared" ref="AE11" si="22">SUM(AE6,AE7,AE10)</f>
        <v>0</v>
      </c>
      <c r="AF11" s="191">
        <f t="shared" ref="AF11" si="23">SUM(AF6,AF7,AF10)</f>
        <v>0</v>
      </c>
      <c r="AG11" s="191">
        <f t="shared" ref="AG11" si="24">SUM(AG6,AG7,AG10)</f>
        <v>0</v>
      </c>
      <c r="AH11" s="191">
        <f t="shared" ref="AH11" si="25">SUM(AH6,AH7,AH10)</f>
        <v>0</v>
      </c>
      <c r="AI11" s="191">
        <f t="shared" ref="AI11" si="26">SUM(AI6,AI7,AI10)</f>
        <v>0</v>
      </c>
      <c r="AJ11" s="191">
        <f t="shared" ref="AJ11" si="27">SUM(AJ6,AJ7,AJ10)</f>
        <v>0</v>
      </c>
      <c r="AK11" s="191">
        <f t="shared" ref="AK11" si="28">SUM(AK6,AK7,AK10)</f>
        <v>0</v>
      </c>
      <c r="AL11" s="191">
        <f t="shared" ref="AL11" si="29">SUM(AL6,AL7,AL10)</f>
        <v>0</v>
      </c>
      <c r="AM11" s="191">
        <f t="shared" ref="AM11" si="30">SUM(AM6,AM7,AM10)</f>
        <v>0</v>
      </c>
      <c r="AN11" s="191">
        <f t="shared" ref="AN11" si="31">SUM(AN6,AN7,AN10)</f>
        <v>0</v>
      </c>
      <c r="AP11" s="161"/>
      <c r="AQ11" s="161"/>
      <c r="AR11" s="161"/>
      <c r="AS11" s="161"/>
      <c r="AT11" s="161"/>
      <c r="AU11" s="161"/>
    </row>
    <row r="12" spans="1:47" ht="15.75" customHeight="1">
      <c r="A12" s="266" t="s">
        <v>39</v>
      </c>
      <c r="B12" s="270"/>
      <c r="C12" s="176" t="s">
        <v>11</v>
      </c>
      <c r="D12" s="177">
        <f>SUMIFS(Flat_file!$I:$I,Flat_file!$B:$B,Result_summary!$C$1,Flat_file!$C:$C,"Women",Flat_file!$D:$D,"15-19",Flat_file!$E:$E,"E",Flat_file!$H:$H,"E",Flat_file!$G:$G,"Below")</f>
        <v>0</v>
      </c>
      <c r="E12" s="177">
        <f>SUMIFS(Flat_file!$I:$I,Flat_file!$B:$B,Result_summary!$C$1,Flat_file!$C:$C,"Women",Flat_file!$D:$D,"15-19",Flat_file!$E:$E,"E",Flat_file!$F:$F,"Yes",Flat_file!$H:$H,"E",Flat_file!$G:$G,"Below")</f>
        <v>0</v>
      </c>
      <c r="F12" s="177">
        <f>SUMIFS(Flat_file!$I:$I,Flat_file!$B:$B,Result_summary!$C$1,Flat_file!$C:$C,"Women",Flat_file!$D:$D,"20-24",Flat_file!$E:$E,"E",Flat_file!$H:$H,"E",Flat_file!$G:$G,"Below")</f>
        <v>0</v>
      </c>
      <c r="G12" s="177">
        <f>SUMIFS(Flat_file!$I:$I,Flat_file!$B:$B,Result_summary!$C$1,Flat_file!$C:$C,"Women",Flat_file!$D:$D,"20-24",Flat_file!$E:$E,"E",Flat_file!$F:$F,"Yes",Flat_file!$H:$H,"E",Flat_file!$G:$G,"Below")</f>
        <v>0</v>
      </c>
      <c r="H12" s="177">
        <f>SUMIFS(Flat_file!$I:$I,Flat_file!$B:$B,Result_summary!$C$1,Flat_file!$C:$C,"Women",Flat_file!$D:$D,"25-29",Flat_file!$E:$E,"E",Flat_file!$H:$H,"E",Flat_file!$G:$G,"Below")</f>
        <v>0</v>
      </c>
      <c r="I12" s="178">
        <f>SUMIFS(Flat_file!$I:$I,Flat_file!$B:$B,Result_summary!$C$1,Flat_file!$C:$C,"Women",Flat_file!$D:$D,"25-29",Flat_file!$E:$E,"E",Flat_file!$F:$F,"Yes",Flat_file!$H:$H,"E",Flat_file!$G:$G,"Below")</f>
        <v>0</v>
      </c>
      <c r="J12" s="178">
        <f>SUMIFS(Flat_file!$I:$I,Flat_file!$B:$B,Result_summary!$C$1,Flat_file!$C:$C,"Women",Flat_file!$D:$D,"15-19",Flat_file!$E:$E,"E",Flat_file!$H:$H,"U",Flat_file!$G:$G,"Below")</f>
        <v>0</v>
      </c>
      <c r="K12" s="178">
        <f>SUMIFS(Flat_file!$I:$I,Flat_file!$B:$B,Result_summary!$C$1,Flat_file!$C:$C,"Women",Flat_file!$D:$D,"20-24",Flat_file!$E:$E,"E",Flat_file!$H:$H,"U",Flat_file!$G:$G,"Below")</f>
        <v>0</v>
      </c>
      <c r="L12" s="178">
        <f>SUMIFS(Flat_file!$I:$I,Flat_file!$B:$B,Result_summary!$C$1,Flat_file!$C:$C,"Women",Flat_file!$D:$D,"25-29",Flat_file!$E:$E,"E",Flat_file!$H:$H,"U",Flat_file!$G:$G,"Below")</f>
        <v>0</v>
      </c>
      <c r="M12" s="178">
        <f>SUMIFS(Flat_file!$I:$I,Flat_file!$B:$B,Result_summary!$C$1,Flat_file!$C:$C,"Women",Flat_file!$D:$D,"15-19",Flat_file!$E:$E,"E",Flat_file!$H:$H,"I",Flat_file!$G:$G,"Below")</f>
        <v>0</v>
      </c>
      <c r="N12" s="178">
        <f>SUMIFS(Flat_file!$I:$I,Flat_file!$B:$B,Result_summary!$C$1,Flat_file!$C:$C,"Women",Flat_file!$D:$D,"20-24",Flat_file!$E:$E,"E",Flat_file!$H:$H,"I",Flat_file!$G:$G,"Below")</f>
        <v>0</v>
      </c>
      <c r="O12" s="179">
        <f>SUMIFS(Flat_file!$I:$I,Flat_file!$B:$B,Result_summary!$C$1,Flat_file!$C:$C,"Women",Flat_file!$D:$D,"25-29",Flat_file!$E:$E,"E",Flat_file!$H:$H,"I",Flat_file!$G:$G,"Below")</f>
        <v>0</v>
      </c>
      <c r="P12" s="180">
        <f t="shared" si="0"/>
        <v>0</v>
      </c>
      <c r="Q12" s="180">
        <f t="shared" si="1"/>
        <v>0</v>
      </c>
      <c r="R12" s="180">
        <f t="shared" si="2"/>
        <v>0</v>
      </c>
      <c r="S12" s="180">
        <f t="shared" si="3"/>
        <v>0</v>
      </c>
      <c r="T12" s="180">
        <f t="shared" si="4"/>
        <v>0</v>
      </c>
      <c r="U12" s="180">
        <f t="shared" si="5"/>
        <v>0</v>
      </c>
      <c r="V12" s="180">
        <f t="shared" si="6"/>
        <v>0</v>
      </c>
      <c r="W12" s="180">
        <f t="shared" si="7"/>
        <v>0</v>
      </c>
      <c r="X12" s="180">
        <f>SUMIFS(Flat_file!$I:$I,Flat_file!$B:$B,Result_summary!$C$1,Flat_file!$C:$C,"Women",Flat_file!$D:$D,"18-24",Flat_file!$E:$E,"E",Flat_file!$H:$H,"E",Flat_file!$G:$G,"Below")</f>
        <v>0</v>
      </c>
      <c r="Y12" s="180">
        <f>SUMIFS(Flat_file!$I:$I,Flat_file!$B:$B,Result_summary!$C$1,Flat_file!$C:$C,"Women",Flat_file!$D:$D,"18-24",Flat_file!$E:$E,"E",Flat_file!$F:$F,"Yes",Flat_file!$H:$H,"E",Flat_file!$G:$G,"Below")</f>
        <v>0</v>
      </c>
      <c r="Z12" s="180">
        <f>SUMIFS(Flat_file!$I:$I,Flat_file!$B:$B,Result_summary!$C$1,Flat_file!$C:$C,"Women",Flat_file!$D:$D,"18-24",Flat_file!$E:$E,"E",Flat_file!$H:$H,"U",Flat_file!$G:$G,"Below")</f>
        <v>0</v>
      </c>
      <c r="AA12" s="180">
        <f>SUMIFS(Flat_file!$I:$I,Flat_file!$B:$B,Result_summary!$C$1,Flat_file!$C:$C,"Women",Flat_file!$D:$D,"18-24",Flat_file!$E:$E,"E",Flat_file!$H:$H,"I",Flat_file!$G:$G,"Below")</f>
        <v>0</v>
      </c>
      <c r="AC12" s="181">
        <f>SUMIFS(Flat_file!$J:$J,Flat_file!$B:$B,Result_summary!$C$1,Flat_file!$C:$C,"Women",Flat_file!$D:$D,"15-19",Flat_file!$E:$E,"E",Flat_file!$H:$H,"E",Flat_file!$G:$G,"Below")</f>
        <v>0</v>
      </c>
      <c r="AD12" s="178">
        <f>SUMIFS(Flat_file!$J:$J,Flat_file!$B:$B,Result_summary!$C$1,Flat_file!$C:$C,"Women",Flat_file!$D:$D,"15-19",Flat_file!$E:$E,"E",Flat_file!$F:$F,"Yes",Flat_file!$H:$H,"E",Flat_file!$G:$G,"Below")</f>
        <v>0</v>
      </c>
      <c r="AE12" s="178">
        <f>SUMIFS(Flat_file!$J:$J,Flat_file!$B:$B,Result_summary!$C$1,Flat_file!$C:$C,"Women",Flat_file!$D:$D,"20-24",Flat_file!$E:$E,"E",Flat_file!$H:$H,"E",Flat_file!$G:$G,"Below")</f>
        <v>0</v>
      </c>
      <c r="AF12" s="178">
        <f>SUMIFS(Flat_file!$J:$J,Flat_file!$B:$B,Result_summary!$C$1,Flat_file!$C:$C,"Women",Flat_file!$D:$D,"20-24",Flat_file!$E:$E,"E",Flat_file!$F:$F,"Yes",Flat_file!$H:$H,"E",Flat_file!$G:$G,"Below")</f>
        <v>0</v>
      </c>
      <c r="AG12" s="178">
        <f>SUMIFS(Flat_file!$J:$J,Flat_file!$B:$B,Result_summary!$C$1,Flat_file!$C:$C,"Women",Flat_file!$D:$D,"25-29",Flat_file!$E:$E,"E",Flat_file!$H:$H,"E",Flat_file!$G:$G,"Below")</f>
        <v>0</v>
      </c>
      <c r="AH12" s="178">
        <f>SUMIFS(Flat_file!$J:$J,Flat_file!$B:$B,Result_summary!$C$1,Flat_file!$C:$C,"Women",Flat_file!$D:$D,"25-29",Flat_file!$E:$E,"E",Flat_file!$F:$F,"Yes",Flat_file!$H:$H,"E",Flat_file!$G:$G,"Below")</f>
        <v>0</v>
      </c>
      <c r="AI12" s="178">
        <f>SUMIFS(Flat_file!$J:$J,Flat_file!$B:$B,Result_summary!$C$1,Flat_file!$C:$C,"Women",Flat_file!$D:$D,"15-19",Flat_file!$E:$E,"E",Flat_file!$H:$H,"U",Flat_file!$G:$G,"Below")</f>
        <v>0</v>
      </c>
      <c r="AJ12" s="178">
        <f>SUMIFS(Flat_file!$J:$J,Flat_file!$B:$B,Result_summary!$C$1,Flat_file!$C:$C,"Women",Flat_file!$D:$D,"20-24",Flat_file!$E:$E,"E",Flat_file!$H:$H,"U",Flat_file!$G:$G,"Below")</f>
        <v>0</v>
      </c>
      <c r="AK12" s="178">
        <f>SUMIFS(Flat_file!$J:$J,Flat_file!$B:$B,Result_summary!$C$1,Flat_file!$C:$C,"Women",Flat_file!$D:$D,"25-29",Flat_file!$E:$E,"E",Flat_file!$H:$H,"U",Flat_file!$G:$G,"Below")</f>
        <v>0</v>
      </c>
      <c r="AL12" s="178">
        <f>SUMIFS(Flat_file!$J:$J,Flat_file!$B:$B,Result_summary!$C$1,Flat_file!$C:$C,"Women",Flat_file!$D:$D,"15-19",Flat_file!$E:$E,"E",Flat_file!$H:$H,"I",Flat_file!$G:$G,"Below")</f>
        <v>0</v>
      </c>
      <c r="AM12" s="178">
        <f>SUMIFS(Flat_file!$J:$J,Flat_file!$B:$B,Result_summary!$C$1,Flat_file!$C:$C,"Women",Flat_file!$D:$D,"20-24",Flat_file!$E:$E,"E",Flat_file!$H:$H,"I",Flat_file!$G:$G,"Below")</f>
        <v>0</v>
      </c>
      <c r="AN12" s="178">
        <f>SUMIFS(Flat_file!$J:$J,Flat_file!$B:$B,Result_summary!$C$1,Flat_file!$C:$C,"Women",Flat_file!$D:$D,"25-29",Flat_file!$E:$E,"E",Flat_file!$H:$H,"I",Flat_file!$G:$G,"Below")</f>
        <v>0</v>
      </c>
    </row>
    <row r="13" spans="1:47" ht="15.75" customHeight="1">
      <c r="A13" s="267"/>
      <c r="B13" s="270"/>
      <c r="C13" s="182" t="s">
        <v>12</v>
      </c>
      <c r="D13" s="183">
        <f>SUMIFS(Flat_file!$I:$I,Flat_file!$B:$B,Result_summary!$C$1,Flat_file!$C:$C,"Women",Flat_file!$D:$D,"15-19",Flat_file!$E:$E,"E",Flat_file!$H:$H,"E",Flat_file!$G:$G,"Upper")</f>
        <v>0</v>
      </c>
      <c r="E13" s="183">
        <f>SUMIFS(Flat_file!$I:$I,Flat_file!$B:$B,Result_summary!$C$1,Flat_file!$C:$C,"Women",Flat_file!$D:$D,"15-19",Flat_file!$E:$E,"E",Flat_file!$F:$F,"Yes",Flat_file!$H:$H,"E",Flat_file!$G:$G,"Upper")</f>
        <v>0</v>
      </c>
      <c r="F13" s="183">
        <f>SUMIFS(Flat_file!$I:$I,Flat_file!$B:$B,Result_summary!$C$1,Flat_file!$C:$C,"Women",Flat_file!$D:$D,"20-24",Flat_file!$E:$E,"E",Flat_file!$H:$H,"E",Flat_file!$G:$G,"Upper")</f>
        <v>0</v>
      </c>
      <c r="G13" s="183">
        <f>SUMIFS(Flat_file!$I:$I,Flat_file!$B:$B,Result_summary!$C$1,Flat_file!$C:$C,"Women",Flat_file!$D:$D,"20-24",Flat_file!$E:$E,"E",Flat_file!$F:$F,"Yes",Flat_file!$H:$H,"E",Flat_file!$G:$G,"Upper")</f>
        <v>0</v>
      </c>
      <c r="H13" s="183">
        <f>SUMIFS(Flat_file!$I:$I,Flat_file!$B:$B,Result_summary!$C$1,Flat_file!$C:$C,"Women",Flat_file!$D:$D,"25-29",Flat_file!$E:$E,"E",Flat_file!$H:$H,"E",Flat_file!$G:$G,"Upper")</f>
        <v>0</v>
      </c>
      <c r="I13" s="184">
        <f>SUMIFS(Flat_file!$I:$I,Flat_file!$B:$B,Result_summary!$C$1,Flat_file!$C:$C,"Women",Flat_file!$D:$D,"25-29",Flat_file!$E:$E,"E",Flat_file!$F:$F,"Yes",Flat_file!$H:$H,"E",Flat_file!$G:$G,"Upper")</f>
        <v>0</v>
      </c>
      <c r="J13" s="184">
        <f>SUMIFS(Flat_file!$I:$I,Flat_file!$B:$B,Result_summary!$C$1,Flat_file!$C:$C,"Women",Flat_file!$D:$D,"15-19",Flat_file!$E:$E,"E",Flat_file!$H:$H,"U",Flat_file!$G:$G,"Upper")</f>
        <v>0</v>
      </c>
      <c r="K13" s="184">
        <f>SUMIFS(Flat_file!$I:$I,Flat_file!$B:$B,Result_summary!$C$1,Flat_file!$C:$C,"Women",Flat_file!$D:$D,"20-24",Flat_file!$E:$E,"E",Flat_file!$H:$H,"U",Flat_file!$G:$G,"Upper")</f>
        <v>0</v>
      </c>
      <c r="L13" s="184">
        <f>SUMIFS(Flat_file!$I:$I,Flat_file!$B:$B,Result_summary!$C$1,Flat_file!$C:$C,"Women",Flat_file!$D:$D,"25-29",Flat_file!$E:$E,"E",Flat_file!$H:$H,"U",Flat_file!$G:$G,"Upper")</f>
        <v>0</v>
      </c>
      <c r="M13" s="184">
        <f>SUMIFS(Flat_file!$I:$I,Flat_file!$B:$B,Result_summary!$C$1,Flat_file!$C:$C,"Women",Flat_file!$D:$D,"15-19",Flat_file!$E:$E,"E",Flat_file!$H:$H,"I",Flat_file!$G:$G,"Upper")</f>
        <v>0</v>
      </c>
      <c r="N13" s="184">
        <f>SUMIFS(Flat_file!$I:$I,Flat_file!$B:$B,Result_summary!$C$1,Flat_file!$C:$C,"Women",Flat_file!$D:$D,"20-24",Flat_file!$E:$E,"E",Flat_file!$H:$H,"I",Flat_file!$G:$G,"Upper")</f>
        <v>0</v>
      </c>
      <c r="O13" s="185">
        <f>SUMIFS(Flat_file!$I:$I,Flat_file!$B:$B,Result_summary!$C$1,Flat_file!$C:$C,"Women",Flat_file!$D:$D,"25-29",Flat_file!$E:$E,"E",Flat_file!$H:$H,"I",Flat_file!$G:$G,"Upper")</f>
        <v>0</v>
      </c>
      <c r="P13" s="186">
        <f t="shared" si="0"/>
        <v>0</v>
      </c>
      <c r="Q13" s="186">
        <f t="shared" si="1"/>
        <v>0</v>
      </c>
      <c r="R13" s="186">
        <f t="shared" si="2"/>
        <v>0</v>
      </c>
      <c r="S13" s="186">
        <f t="shared" si="3"/>
        <v>0</v>
      </c>
      <c r="T13" s="186">
        <f t="shared" si="4"/>
        <v>0</v>
      </c>
      <c r="U13" s="186">
        <f t="shared" si="5"/>
        <v>0</v>
      </c>
      <c r="V13" s="186">
        <f t="shared" si="6"/>
        <v>0</v>
      </c>
      <c r="W13" s="186">
        <f t="shared" si="7"/>
        <v>0</v>
      </c>
      <c r="X13" s="186">
        <f>SUMIFS(Flat_file!$I:$I,Flat_file!$B:$B,Result_summary!$C$1,Flat_file!$C:$C,"Women",Flat_file!$D:$D,"18-24",Flat_file!$E:$E,"E",Flat_file!$H:$H,"E",Flat_file!$G:$G,"Upper")</f>
        <v>0</v>
      </c>
      <c r="Y13" s="186">
        <f>SUMIFS(Flat_file!$I:$I,Flat_file!$B:$B,Result_summary!$C$1,Flat_file!$C:$C,"Women",Flat_file!$D:$D,"18-24",Flat_file!$E:$E,"E",Flat_file!$F:$F,"Yes",Flat_file!$H:$H,"E",Flat_file!$G:$G,"Upper")</f>
        <v>0</v>
      </c>
      <c r="Z13" s="186">
        <f>SUMIFS(Flat_file!$I:$I,Flat_file!$B:$B,Result_summary!$C$1,Flat_file!$C:$C,"Women",Flat_file!$D:$D,"18-24",Flat_file!$E:$E,"E",Flat_file!$H:$H,"U",Flat_file!$G:$G,"Upper")</f>
        <v>0</v>
      </c>
      <c r="AA13" s="186">
        <f>SUMIFS(Flat_file!$I:$I,Flat_file!$B:$B,Result_summary!$C$1,Flat_file!$C:$C,"Women",Flat_file!$D:$D,"18-24",Flat_file!$E:$E,"E",Flat_file!$H:$H,"I",Flat_file!$G:$G,"Upper")</f>
        <v>0</v>
      </c>
      <c r="AC13" s="187">
        <f>SUMIFS(Flat_file!$J:$J,Flat_file!$B:$B,Result_summary!$C$1,Flat_file!$C:$C,"Women",Flat_file!$D:$D,"15-19",Flat_file!$E:$E,"E",Flat_file!$H:$H,"E",Flat_file!$G:$G,"Upper")</f>
        <v>0</v>
      </c>
      <c r="AD13" s="184">
        <f>SUMIFS(Flat_file!$J:$J,Flat_file!$B:$B,Result_summary!$C$1,Flat_file!$C:$C,"Women",Flat_file!$D:$D,"15-19",Flat_file!$E:$E,"E",Flat_file!$F:$F,"Yes",Flat_file!$H:$H,"E",Flat_file!$G:$G,"Upper")</f>
        <v>0</v>
      </c>
      <c r="AE13" s="184">
        <f>SUMIFS(Flat_file!$J:$J,Flat_file!$B:$B,Result_summary!$C$1,Flat_file!$C:$C,"Women",Flat_file!$D:$D,"20-24",Flat_file!$E:$E,"E",Flat_file!$H:$H,"E",Flat_file!$G:$G,"Upper")</f>
        <v>0</v>
      </c>
      <c r="AF13" s="184">
        <f>SUMIFS(Flat_file!$J:$J,Flat_file!$B:$B,Result_summary!$C$1,Flat_file!$C:$C,"Women",Flat_file!$D:$D,"20-24",Flat_file!$E:$E,"E",Flat_file!$F:$F,"Yes",Flat_file!$H:$H,"E",Flat_file!$G:$G,"Upper")</f>
        <v>0</v>
      </c>
      <c r="AG13" s="184">
        <f>SUMIFS(Flat_file!$J:$J,Flat_file!$B:$B,Result_summary!$C$1,Flat_file!$C:$C,"Women",Flat_file!$D:$D,"25-29",Flat_file!$E:$E,"E",Flat_file!$H:$H,"E",Flat_file!$G:$G,"Upper")</f>
        <v>0</v>
      </c>
      <c r="AH13" s="184">
        <f>SUMIFS(Flat_file!$J:$J,Flat_file!$B:$B,Result_summary!$C$1,Flat_file!$C:$C,"Women",Flat_file!$D:$D,"25-29",Flat_file!$E:$E,"E",Flat_file!$F:$F,"Yes",Flat_file!$H:$H,"E",Flat_file!$G:$G,"Upper")</f>
        <v>0</v>
      </c>
      <c r="AI13" s="184">
        <f>SUMIFS(Flat_file!$J:$J,Flat_file!$B:$B,Result_summary!$C$1,Flat_file!$C:$C,"Women",Flat_file!$D:$D,"15-19",Flat_file!$E:$E,"E",Flat_file!$H:$H,"U",Flat_file!$G:$G,"Upper")</f>
        <v>0</v>
      </c>
      <c r="AJ13" s="184">
        <f>SUMIFS(Flat_file!$J:$J,Flat_file!$B:$B,Result_summary!$C$1,Flat_file!$C:$C,"Women",Flat_file!$D:$D,"20-24",Flat_file!$E:$E,"E",Flat_file!$H:$H,"U",Flat_file!$G:$G,"Upper")</f>
        <v>0</v>
      </c>
      <c r="AK13" s="184">
        <f>SUMIFS(Flat_file!$J:$J,Flat_file!$B:$B,Result_summary!$C$1,Flat_file!$C:$C,"Women",Flat_file!$D:$D,"25-29",Flat_file!$E:$E,"E",Flat_file!$H:$H,"U",Flat_file!$G:$G,"Upper")</f>
        <v>0</v>
      </c>
      <c r="AL13" s="184">
        <f>SUMIFS(Flat_file!$J:$J,Flat_file!$B:$B,Result_summary!$C$1,Flat_file!$C:$C,"Women",Flat_file!$D:$D,"15-19",Flat_file!$E:$E,"E",Flat_file!$H:$H,"I",Flat_file!$G:$G,"Upper")</f>
        <v>0</v>
      </c>
      <c r="AM13" s="184">
        <f>SUMIFS(Flat_file!$J:$J,Flat_file!$B:$B,Result_summary!$C$1,Flat_file!$C:$C,"Women",Flat_file!$D:$D,"20-24",Flat_file!$E:$E,"E",Flat_file!$H:$H,"I",Flat_file!$G:$G,"Upper")</f>
        <v>0</v>
      </c>
      <c r="AN13" s="184">
        <f>SUMIFS(Flat_file!$J:$J,Flat_file!$B:$B,Result_summary!$C$1,Flat_file!$C:$C,"Women",Flat_file!$D:$D,"25-29",Flat_file!$E:$E,"E",Flat_file!$H:$H,"I",Flat_file!$G:$G,"Upper")</f>
        <v>0</v>
      </c>
    </row>
    <row r="14" spans="1:47" ht="15.75" customHeight="1">
      <c r="A14" s="267"/>
      <c r="B14" s="270"/>
      <c r="C14" s="224" t="s">
        <v>227</v>
      </c>
      <c r="D14" s="183">
        <f>SUMIFS(Flat_file!$I:$I,Flat_file!$B:$B,Result_summary!$C$1,Flat_file!$C:$C,"Women",Flat_file!$D:$D,"15-19",Flat_file!$E:$E,"E",Flat_file!$H:$H,"E",Flat_file!$G:$G,"Upper - general")</f>
        <v>0</v>
      </c>
      <c r="E14" s="183">
        <f>SUMIFS(Flat_file!$I:$I,Flat_file!$B:$B,Result_summary!$C$1,Flat_file!$C:$C,"Women",Flat_file!$D:$D,"15-19",Flat_file!$E:$E,"E",Flat_file!$F:$F,"Yes",Flat_file!$H:$H,"E",Flat_file!$G:$G,"Upper - general")</f>
        <v>0</v>
      </c>
      <c r="F14" s="183">
        <f>SUMIFS(Flat_file!$I:$I,Flat_file!$B:$B,Result_summary!$C$1,Flat_file!$C:$C,"Women",Flat_file!$D:$D,"20-24",Flat_file!$E:$E,"E",Flat_file!$H:$H,"E",Flat_file!$G:$G,"Upper - general")</f>
        <v>0</v>
      </c>
      <c r="G14" s="183">
        <f>SUMIFS(Flat_file!$I:$I,Flat_file!$B:$B,Result_summary!$C$1,Flat_file!$C:$C,"Women",Flat_file!$D:$D,"20-24",Flat_file!$E:$E,"E",Flat_file!$F:$F,"Yes",Flat_file!$H:$H,"E",Flat_file!$G:$G,"Upper - general")</f>
        <v>0</v>
      </c>
      <c r="H14" s="183">
        <f>SUMIFS(Flat_file!$I:$I,Flat_file!$B:$B,Result_summary!$C$1,Flat_file!$C:$C,"Women",Flat_file!$D:$D,"25-29",Flat_file!$E:$E,"E",Flat_file!$H:$H,"E",Flat_file!$G:$G,"Upper - general")</f>
        <v>0</v>
      </c>
      <c r="I14" s="184">
        <f>SUMIFS(Flat_file!$I:$I,Flat_file!$B:$B,Result_summary!$C$1,Flat_file!$C:$C,"Women",Flat_file!$D:$D,"25-29",Flat_file!$E:$E,"E",Flat_file!$F:$F,"Yes",Flat_file!$H:$H,"E",Flat_file!$G:$G,"Upper - general")</f>
        <v>0</v>
      </c>
      <c r="J14" s="184">
        <f>SUMIFS(Flat_file!$I:$I,Flat_file!$B:$B,Result_summary!$C$1,Flat_file!$C:$C,"Women",Flat_file!$D:$D,"15-19",Flat_file!$E:$E,"E",Flat_file!$H:$H,"U",Flat_file!$G:$G,"Upper - general")</f>
        <v>0</v>
      </c>
      <c r="K14" s="184">
        <f>SUMIFS(Flat_file!$I:$I,Flat_file!$B:$B,Result_summary!$C$1,Flat_file!$C:$C,"Women",Flat_file!$D:$D,"20-24",Flat_file!$E:$E,"E",Flat_file!$H:$H,"U",Flat_file!$G:$G,"Upper - general")</f>
        <v>0</v>
      </c>
      <c r="L14" s="184">
        <f>SUMIFS(Flat_file!$I:$I,Flat_file!$B:$B,Result_summary!$C$1,Flat_file!$C:$C,"Women",Flat_file!$D:$D,"25-29",Flat_file!$E:$E,"E",Flat_file!$H:$H,"U",Flat_file!$G:$G,"Upper - general")</f>
        <v>0</v>
      </c>
      <c r="M14" s="184">
        <f>SUMIFS(Flat_file!$I:$I,Flat_file!$B:$B,Result_summary!$C$1,Flat_file!$C:$C,"Women",Flat_file!$D:$D,"15-19",Flat_file!$E:$E,"E",Flat_file!$H:$H,"I",Flat_file!$G:$G,"Upper - general")</f>
        <v>0</v>
      </c>
      <c r="N14" s="184">
        <f>SUMIFS(Flat_file!$I:$I,Flat_file!$B:$B,Result_summary!$C$1,Flat_file!$C:$C,"Women",Flat_file!$D:$D,"20-24",Flat_file!$E:$E,"E",Flat_file!$H:$H,"I",Flat_file!$G:$G,"Upper - general")</f>
        <v>0</v>
      </c>
      <c r="O14" s="185">
        <f>SUMIFS(Flat_file!$I:$I,Flat_file!$B:$B,Result_summary!$C$1,Flat_file!$C:$C,"Women",Flat_file!$D:$D,"25-29",Flat_file!$E:$E,"E",Flat_file!$H:$H,"I",Flat_file!$G:$G,"Upper - general")</f>
        <v>0</v>
      </c>
      <c r="P14" s="186">
        <f t="shared" si="0"/>
        <v>0</v>
      </c>
      <c r="Q14" s="186">
        <f t="shared" si="1"/>
        <v>0</v>
      </c>
      <c r="R14" s="186">
        <f t="shared" si="2"/>
        <v>0</v>
      </c>
      <c r="S14" s="186">
        <f t="shared" si="3"/>
        <v>0</v>
      </c>
      <c r="T14" s="186">
        <f t="shared" si="4"/>
        <v>0</v>
      </c>
      <c r="U14" s="186">
        <f t="shared" si="5"/>
        <v>0</v>
      </c>
      <c r="V14" s="186">
        <f t="shared" si="6"/>
        <v>0</v>
      </c>
      <c r="W14" s="186">
        <f t="shared" si="7"/>
        <v>0</v>
      </c>
      <c r="X14" s="186">
        <f>SUMIFS(Flat_file!$I:$I,Flat_file!$B:$B,Result_summary!$C$1,Flat_file!$C:$C,"Women",Flat_file!$D:$D,"18-24",Flat_file!$E:$E,"E",Flat_file!$H:$H,"E",Flat_file!$G:$G,"Upper - general")</f>
        <v>0</v>
      </c>
      <c r="Y14" s="186">
        <f>SUMIFS(Flat_file!$I:$I,Flat_file!$B:$B,Result_summary!$C$1,Flat_file!$C:$C,"Women",Flat_file!$D:$D,"18-24",Flat_file!$E:$E,"E",Flat_file!$F:$F,"Yes",Flat_file!$H:$H,"E",Flat_file!$G:$G,"Upper - general")</f>
        <v>0</v>
      </c>
      <c r="Z14" s="186">
        <f>SUMIFS(Flat_file!$I:$I,Flat_file!$B:$B,Result_summary!$C$1,Flat_file!$C:$C,"Women",Flat_file!$D:$D,"18-24",Flat_file!$E:$E,"E",Flat_file!$H:$H,"U",Flat_file!$G:$G,"Upper - general")</f>
        <v>0</v>
      </c>
      <c r="AA14" s="186">
        <f>SUMIFS(Flat_file!$I:$I,Flat_file!$B:$B,Result_summary!$C$1,Flat_file!$C:$C,"Women",Flat_file!$D:$D,"18-24",Flat_file!$E:$E,"E",Flat_file!$H:$H,"I",Flat_file!$G:$G,"Upper - general")</f>
        <v>0</v>
      </c>
      <c r="AC14" s="187">
        <f>SUMIFS(Flat_file!$J:$J,Flat_file!$B:$B,Result_summary!$C$1,Flat_file!$C:$C,"Women",Flat_file!$D:$D,"15-19",Flat_file!$E:$E,"E",Flat_file!$H:$H,"E",Flat_file!$G:$G,"Upper - general")</f>
        <v>0</v>
      </c>
      <c r="AD14" s="184">
        <f>SUMIFS(Flat_file!$J:$J,Flat_file!$B:$B,Result_summary!$C$1,Flat_file!$C:$C,"Women",Flat_file!$D:$D,"15-19",Flat_file!$E:$E,"E",Flat_file!$F:$F,"Yes",Flat_file!$H:$H,"E",Flat_file!$G:$G,"Upper - general")</f>
        <v>0</v>
      </c>
      <c r="AE14" s="184">
        <f>SUMIFS(Flat_file!$J:$J,Flat_file!$B:$B,Result_summary!$C$1,Flat_file!$C:$C,"Women",Flat_file!$D:$D,"20-24",Flat_file!$E:$E,"E",Flat_file!$H:$H,"E",Flat_file!$G:$G,"Upper - general")</f>
        <v>0</v>
      </c>
      <c r="AF14" s="184">
        <f>SUMIFS(Flat_file!$J:$J,Flat_file!$B:$B,Result_summary!$C$1,Flat_file!$C:$C,"Women",Flat_file!$D:$D,"20-24",Flat_file!$E:$E,"E",Flat_file!$F:$F,"Yes",Flat_file!$H:$H,"E",Flat_file!$G:$G,"Upper - general")</f>
        <v>0</v>
      </c>
      <c r="AG14" s="184">
        <f>SUMIFS(Flat_file!$J:$J,Flat_file!$B:$B,Result_summary!$C$1,Flat_file!$C:$C,"Women",Flat_file!$D:$D,"25-29",Flat_file!$E:$E,"E",Flat_file!$H:$H,"E",Flat_file!$G:$G,"Upper - general")</f>
        <v>0</v>
      </c>
      <c r="AH14" s="184">
        <f>SUMIFS(Flat_file!$J:$J,Flat_file!$B:$B,Result_summary!$C$1,Flat_file!$C:$C,"Women",Flat_file!$D:$D,"25-29",Flat_file!$E:$E,"E",Flat_file!$F:$F,"Yes",Flat_file!$H:$H,"E",Flat_file!$G:$G,"Upper - general")</f>
        <v>0</v>
      </c>
      <c r="AI14" s="184">
        <f>SUMIFS(Flat_file!$J:$J,Flat_file!$B:$B,Result_summary!$C$1,Flat_file!$C:$C,"Women",Flat_file!$D:$D,"15-19",Flat_file!$E:$E,"E",Flat_file!$H:$H,"U",Flat_file!$G:$G,"Upper - general")</f>
        <v>0</v>
      </c>
      <c r="AJ14" s="184">
        <f>SUMIFS(Flat_file!$J:$J,Flat_file!$B:$B,Result_summary!$C$1,Flat_file!$C:$C,"Women",Flat_file!$D:$D,"20-24",Flat_file!$E:$E,"E",Flat_file!$H:$H,"U",Flat_file!$G:$G,"Upper - general")</f>
        <v>0</v>
      </c>
      <c r="AK14" s="184">
        <f>SUMIFS(Flat_file!$J:$J,Flat_file!$B:$B,Result_summary!$C$1,Flat_file!$C:$C,"Women",Flat_file!$D:$D,"25-29",Flat_file!$E:$E,"E",Flat_file!$H:$H,"U",Flat_file!$G:$G,"Upper - general")</f>
        <v>0</v>
      </c>
      <c r="AL14" s="184">
        <f>SUMIFS(Flat_file!$J:$J,Flat_file!$B:$B,Result_summary!$C$1,Flat_file!$C:$C,"Women",Flat_file!$D:$D,"15-19",Flat_file!$E:$E,"E",Flat_file!$H:$H,"I",Flat_file!$G:$G,"Upper - general")</f>
        <v>0</v>
      </c>
      <c r="AM14" s="184">
        <f>SUMIFS(Flat_file!$J:$J,Flat_file!$B:$B,Result_summary!$C$1,Flat_file!$C:$C,"Women",Flat_file!$D:$D,"20-24",Flat_file!$E:$E,"E",Flat_file!$H:$H,"I",Flat_file!$G:$G,"Upper - general")</f>
        <v>0</v>
      </c>
      <c r="AN14" s="184">
        <f>SUMIFS(Flat_file!$J:$J,Flat_file!$B:$B,Result_summary!$C$1,Flat_file!$C:$C,"Women",Flat_file!$D:$D,"25-29",Flat_file!$E:$E,"E",Flat_file!$H:$H,"I",Flat_file!$G:$G,"Upper - general")</f>
        <v>0</v>
      </c>
    </row>
    <row r="15" spans="1:47" ht="15.75" customHeight="1">
      <c r="A15" s="267"/>
      <c r="B15" s="270"/>
      <c r="C15" s="224" t="s">
        <v>228</v>
      </c>
      <c r="D15" s="183">
        <f>SUMIFS(Flat_file!$I:$I,Flat_file!$B:$B,Result_summary!$C$1,Flat_file!$C:$C,"Women",Flat_file!$D:$D,"15-19",Flat_file!$E:$E,"E",Flat_file!$H:$H,"E",Flat_file!$G:$G,"Upper - vocational")</f>
        <v>0</v>
      </c>
      <c r="E15" s="183">
        <f>SUMIFS(Flat_file!$I:$I,Flat_file!$B:$B,Result_summary!$C$1,Flat_file!$C:$C,"Women",Flat_file!$D:$D,"15-19",Flat_file!$E:$E,"E",Flat_file!$F:$F,"Yes",Flat_file!$H:$H,"E",Flat_file!$G:$G,"Upper - vocational")</f>
        <v>0</v>
      </c>
      <c r="F15" s="183">
        <f>SUMIFS(Flat_file!$I:$I,Flat_file!$B:$B,Result_summary!$C$1,Flat_file!$C:$C,"Women",Flat_file!$D:$D,"20-24",Flat_file!$E:$E,"E",Flat_file!$H:$H,"E",Flat_file!$G:$G,"Upper - vocational")</f>
        <v>0</v>
      </c>
      <c r="G15" s="183">
        <f>SUMIFS(Flat_file!$I:$I,Flat_file!$B:$B,Result_summary!$C$1,Flat_file!$C:$C,"Women",Flat_file!$D:$D,"20-24",Flat_file!$E:$E,"E",Flat_file!$F:$F,"Yes",Flat_file!$H:$H,"E",Flat_file!$G:$G,"Upper - vocational")</f>
        <v>0</v>
      </c>
      <c r="H15" s="183">
        <f>SUMIFS(Flat_file!$I:$I,Flat_file!$B:$B,Result_summary!$C$1,Flat_file!$C:$C,"Women",Flat_file!$D:$D,"25-29",Flat_file!$E:$E,"E",Flat_file!$H:$H,"E",Flat_file!$G:$G,"Upper - vocational")</f>
        <v>0</v>
      </c>
      <c r="I15" s="184">
        <f>SUMIFS(Flat_file!$I:$I,Flat_file!$B:$B,Result_summary!$C$1,Flat_file!$C:$C,"Women",Flat_file!$D:$D,"25-29",Flat_file!$E:$E,"E",Flat_file!$F:$F,"Yes",Flat_file!$H:$H,"E",Flat_file!$G:$G,"Upper - vocational")</f>
        <v>0</v>
      </c>
      <c r="J15" s="184">
        <f>SUMIFS(Flat_file!$I:$I,Flat_file!$B:$B,Result_summary!$C$1,Flat_file!$C:$C,"Women",Flat_file!$D:$D,"15-19",Flat_file!$E:$E,"E",Flat_file!$H:$H,"U",Flat_file!$G:$G,"Upper - vocational")</f>
        <v>0</v>
      </c>
      <c r="K15" s="184">
        <f>SUMIFS(Flat_file!$I:$I,Flat_file!$B:$B,Result_summary!$C$1,Flat_file!$C:$C,"Women",Flat_file!$D:$D,"20-24",Flat_file!$E:$E,"E",Flat_file!$H:$H,"U",Flat_file!$G:$G,"Upper - vocational")</f>
        <v>0</v>
      </c>
      <c r="L15" s="184">
        <f>SUMIFS(Flat_file!$I:$I,Flat_file!$B:$B,Result_summary!$C$1,Flat_file!$C:$C,"Women",Flat_file!$D:$D,"25-29",Flat_file!$E:$E,"E",Flat_file!$H:$H,"U",Flat_file!$G:$G,"Upper - vocational")</f>
        <v>0</v>
      </c>
      <c r="M15" s="184">
        <f>SUMIFS(Flat_file!$I:$I,Flat_file!$B:$B,Result_summary!$C$1,Flat_file!$C:$C,"Women",Flat_file!$D:$D,"15-19",Flat_file!$E:$E,"E",Flat_file!$H:$H,"I",Flat_file!$G:$G,"Upper - vocational")</f>
        <v>0</v>
      </c>
      <c r="N15" s="184">
        <f>SUMIFS(Flat_file!$I:$I,Flat_file!$B:$B,Result_summary!$C$1,Flat_file!$C:$C,"Women",Flat_file!$D:$D,"20-24",Flat_file!$E:$E,"E",Flat_file!$H:$H,"I",Flat_file!$G:$G,"Upper - vocational")</f>
        <v>0</v>
      </c>
      <c r="O15" s="185">
        <f>SUMIFS(Flat_file!$I:$I,Flat_file!$B:$B,Result_summary!$C$1,Flat_file!$C:$C,"Women",Flat_file!$D:$D,"25-29",Flat_file!$E:$E,"E",Flat_file!$H:$H,"I",Flat_file!$G:$G,"Upper - vocational")</f>
        <v>0</v>
      </c>
      <c r="P15" s="186">
        <f t="shared" si="0"/>
        <v>0</v>
      </c>
      <c r="Q15" s="186">
        <f t="shared" si="1"/>
        <v>0</v>
      </c>
      <c r="R15" s="186">
        <f t="shared" si="2"/>
        <v>0</v>
      </c>
      <c r="S15" s="186">
        <f t="shared" si="3"/>
        <v>0</v>
      </c>
      <c r="T15" s="186">
        <f t="shared" si="4"/>
        <v>0</v>
      </c>
      <c r="U15" s="186">
        <f t="shared" si="5"/>
        <v>0</v>
      </c>
      <c r="V15" s="186">
        <f t="shared" si="6"/>
        <v>0</v>
      </c>
      <c r="W15" s="186">
        <f t="shared" si="7"/>
        <v>0</v>
      </c>
      <c r="X15" s="186">
        <f>SUMIFS(Flat_file!$I:$I,Flat_file!$B:$B,Result_summary!$C$1,Flat_file!$C:$C,"Women",Flat_file!$D:$D,"18-24",Flat_file!$E:$E,"E",Flat_file!$H:$H,"E",Flat_file!$G:$G,"Upper - vocational")</f>
        <v>0</v>
      </c>
      <c r="Y15" s="186">
        <f>SUMIFS(Flat_file!$I:$I,Flat_file!$B:$B,Result_summary!$C$1,Flat_file!$C:$C,"Women",Flat_file!$D:$D,"18-24",Flat_file!$E:$E,"E",Flat_file!$F:$F,"Yes",Flat_file!$H:$H,"E",Flat_file!$G:$G,"Upper - vocational")</f>
        <v>0</v>
      </c>
      <c r="Z15" s="186">
        <f>SUMIFS(Flat_file!$I:$I,Flat_file!$B:$B,Result_summary!$C$1,Flat_file!$C:$C,"Women",Flat_file!$D:$D,"18-24",Flat_file!$E:$E,"E",Flat_file!$H:$H,"U",Flat_file!$G:$G,"Upper - vocational")</f>
        <v>0</v>
      </c>
      <c r="AA15" s="186">
        <f>SUMIFS(Flat_file!$I:$I,Flat_file!$B:$B,Result_summary!$C$1,Flat_file!$C:$C,"Women",Flat_file!$D:$D,"18-24",Flat_file!$E:$E,"E",Flat_file!$H:$H,"I",Flat_file!$G:$G,"Upper - vocational")</f>
        <v>0</v>
      </c>
      <c r="AC15" s="187">
        <f>SUMIFS(Flat_file!$J:$J,Flat_file!$B:$B,Result_summary!$C$1,Flat_file!$C:$C,"Women",Flat_file!$D:$D,"15-19",Flat_file!$E:$E,"E",Flat_file!$H:$H,"E",Flat_file!$G:$G,"Upper - vocational")</f>
        <v>0</v>
      </c>
      <c r="AD15" s="184">
        <f>SUMIFS(Flat_file!$J:$J,Flat_file!$B:$B,Result_summary!$C$1,Flat_file!$C:$C,"Women",Flat_file!$D:$D,"15-19",Flat_file!$E:$E,"E",Flat_file!$F:$F,"Yes",Flat_file!$H:$H,"E",Flat_file!$G:$G,"Upper - vocational")</f>
        <v>0</v>
      </c>
      <c r="AE15" s="184">
        <f>SUMIFS(Flat_file!$J:$J,Flat_file!$B:$B,Result_summary!$C$1,Flat_file!$C:$C,"Women",Flat_file!$D:$D,"20-24",Flat_file!$E:$E,"E",Flat_file!$H:$H,"E",Flat_file!$G:$G,"Upper - vocational")</f>
        <v>0</v>
      </c>
      <c r="AF15" s="184">
        <f>SUMIFS(Flat_file!$J:$J,Flat_file!$B:$B,Result_summary!$C$1,Flat_file!$C:$C,"Women",Flat_file!$D:$D,"20-24",Flat_file!$E:$E,"E",Flat_file!$F:$F,"Yes",Flat_file!$H:$H,"E",Flat_file!$G:$G,"Upper - vocational")</f>
        <v>0</v>
      </c>
      <c r="AG15" s="184">
        <f>SUMIFS(Flat_file!$J:$J,Flat_file!$B:$B,Result_summary!$C$1,Flat_file!$C:$C,"Women",Flat_file!$D:$D,"25-29",Flat_file!$E:$E,"E",Flat_file!$H:$H,"E",Flat_file!$G:$G,"Upper - vocational")</f>
        <v>0</v>
      </c>
      <c r="AH15" s="184">
        <f>SUMIFS(Flat_file!$J:$J,Flat_file!$B:$B,Result_summary!$C$1,Flat_file!$C:$C,"Women",Flat_file!$D:$D,"25-29",Flat_file!$E:$E,"E",Flat_file!$F:$F,"Yes",Flat_file!$H:$H,"E",Flat_file!$G:$G,"Upper - vocational")</f>
        <v>0</v>
      </c>
      <c r="AI15" s="184">
        <f>SUMIFS(Flat_file!$J:$J,Flat_file!$B:$B,Result_summary!$C$1,Flat_file!$C:$C,"Women",Flat_file!$D:$D,"15-19",Flat_file!$E:$E,"E",Flat_file!$H:$H,"U",Flat_file!$G:$G,"Upper - vocational")</f>
        <v>0</v>
      </c>
      <c r="AJ15" s="184">
        <f>SUMIFS(Flat_file!$J:$J,Flat_file!$B:$B,Result_summary!$C$1,Flat_file!$C:$C,"Women",Flat_file!$D:$D,"20-24",Flat_file!$E:$E,"E",Flat_file!$H:$H,"U",Flat_file!$G:$G,"Upper - vocational")</f>
        <v>0</v>
      </c>
      <c r="AK15" s="184">
        <f>SUMIFS(Flat_file!$J:$J,Flat_file!$B:$B,Result_summary!$C$1,Flat_file!$C:$C,"Women",Flat_file!$D:$D,"25-29",Flat_file!$E:$E,"E",Flat_file!$H:$H,"U",Flat_file!$G:$G,"Upper - vocational")</f>
        <v>0</v>
      </c>
      <c r="AL15" s="184">
        <f>SUMIFS(Flat_file!$J:$J,Flat_file!$B:$B,Result_summary!$C$1,Flat_file!$C:$C,"Women",Flat_file!$D:$D,"15-19",Flat_file!$E:$E,"E",Flat_file!$H:$H,"I",Flat_file!$G:$G,"Upper - vocational")</f>
        <v>0</v>
      </c>
      <c r="AM15" s="184">
        <f>SUMIFS(Flat_file!$J:$J,Flat_file!$B:$B,Result_summary!$C$1,Flat_file!$C:$C,"Women",Flat_file!$D:$D,"20-24",Flat_file!$E:$E,"E",Flat_file!$H:$H,"I",Flat_file!$G:$G,"Upper - vocational")</f>
        <v>0</v>
      </c>
      <c r="AN15" s="184">
        <f>SUMIFS(Flat_file!$J:$J,Flat_file!$B:$B,Result_summary!$C$1,Flat_file!$C:$C,"Women",Flat_file!$D:$D,"25-29",Flat_file!$E:$E,"E",Flat_file!$H:$H,"I",Flat_file!$G:$G,"Upper - vocational")</f>
        <v>0</v>
      </c>
      <c r="AP15" s="194"/>
      <c r="AQ15" s="194"/>
      <c r="AR15" s="194"/>
      <c r="AS15" s="194"/>
      <c r="AT15" s="194"/>
      <c r="AU15" s="194"/>
    </row>
    <row r="16" spans="1:47" ht="15.75" customHeight="1">
      <c r="A16" s="267"/>
      <c r="B16" s="270"/>
      <c r="C16" s="182" t="s">
        <v>9</v>
      </c>
      <c r="D16" s="183">
        <f>SUMIFS(Flat_file!$I:$I,Flat_file!$B:$B,Result_summary!$C$1,Flat_file!$C:$C,"Women",Flat_file!$D:$D,"15-19",Flat_file!$E:$E,"E",Flat_file!$H:$H,"E",Flat_file!$G:$G,"Tertiary")</f>
        <v>0</v>
      </c>
      <c r="E16" s="183">
        <f>SUMIFS(Flat_file!$I:$I,Flat_file!$B:$B,Result_summary!$C$1,Flat_file!$C:$C,"Women",Flat_file!$D:$D,"15-19",Flat_file!$E:$E,"E",Flat_file!$F:$F,"Yes",Flat_file!$H:$H,"E",Flat_file!$G:$G,"Tertiary")</f>
        <v>0</v>
      </c>
      <c r="F16" s="183">
        <f>SUMIFS(Flat_file!$I:$I,Flat_file!$B:$B,Result_summary!$C$1,Flat_file!$C:$C,"Women",Flat_file!$D:$D,"20-24",Flat_file!$E:$E,"E",Flat_file!$H:$H,"E",Flat_file!$G:$G,"Tertiary")</f>
        <v>0</v>
      </c>
      <c r="G16" s="183">
        <f>SUMIFS(Flat_file!$I:$I,Flat_file!$B:$B,Result_summary!$C$1,Flat_file!$C:$C,"Women",Flat_file!$D:$D,"20-24",Flat_file!$E:$E,"E",Flat_file!$F:$F,"Yes",Flat_file!$H:$H,"E",Flat_file!$G:$G,"Tertiary")</f>
        <v>0</v>
      </c>
      <c r="H16" s="183">
        <f>SUMIFS(Flat_file!$I:$I,Flat_file!$B:$B,Result_summary!$C$1,Flat_file!$C:$C,"Women",Flat_file!$D:$D,"25-29",Flat_file!$E:$E,"E",Flat_file!$H:$H,"E",Flat_file!$G:$G,"Tertiary")</f>
        <v>0</v>
      </c>
      <c r="I16" s="184">
        <f>SUMIFS(Flat_file!$I:$I,Flat_file!$B:$B,Result_summary!$C$1,Flat_file!$C:$C,"Women",Flat_file!$D:$D,"25-29",Flat_file!$E:$E,"E",Flat_file!$F:$F,"Yes",Flat_file!$H:$H,"E",Flat_file!$G:$G,"Tertiary")</f>
        <v>0</v>
      </c>
      <c r="J16" s="184">
        <f>SUMIFS(Flat_file!$I:$I,Flat_file!$B:$B,Result_summary!$C$1,Flat_file!$C:$C,"Women",Flat_file!$D:$D,"15-19",Flat_file!$E:$E,"E",Flat_file!$H:$H,"U",Flat_file!$G:$G,"Tertiary")</f>
        <v>0</v>
      </c>
      <c r="K16" s="184">
        <f>SUMIFS(Flat_file!$I:$I,Flat_file!$B:$B,Result_summary!$C$1,Flat_file!$C:$C,"Women",Flat_file!$D:$D,"20-24",Flat_file!$E:$E,"E",Flat_file!$H:$H,"U",Flat_file!$G:$G,"Tertiary")</f>
        <v>0</v>
      </c>
      <c r="L16" s="184">
        <f>SUMIFS(Flat_file!$I:$I,Flat_file!$B:$B,Result_summary!$C$1,Flat_file!$C:$C,"Women",Flat_file!$D:$D,"25-29",Flat_file!$E:$E,"E",Flat_file!$H:$H,"U",Flat_file!$G:$G,"Tertiary")</f>
        <v>0</v>
      </c>
      <c r="M16" s="184">
        <f>SUMIFS(Flat_file!$I:$I,Flat_file!$B:$B,Result_summary!$C$1,Flat_file!$C:$C,"Women",Flat_file!$D:$D,"15-19",Flat_file!$E:$E,"E",Flat_file!$H:$H,"I",Flat_file!$G:$G,"Tertiary")</f>
        <v>0</v>
      </c>
      <c r="N16" s="184">
        <f>SUMIFS(Flat_file!$I:$I,Flat_file!$B:$B,Result_summary!$C$1,Flat_file!$C:$C,"Women",Flat_file!$D:$D,"20-24",Flat_file!$E:$E,"E",Flat_file!$H:$H,"I",Flat_file!$G:$G,"Tertiary")</f>
        <v>0</v>
      </c>
      <c r="O16" s="185">
        <f>SUMIFS(Flat_file!$I:$I,Flat_file!$B:$B,Result_summary!$C$1,Flat_file!$C:$C,"Women",Flat_file!$D:$D,"25-29",Flat_file!$E:$E,"E",Flat_file!$H:$H,"I",Flat_file!$G:$G,"Tertiary")</f>
        <v>0</v>
      </c>
      <c r="P16" s="186">
        <f t="shared" si="0"/>
        <v>0</v>
      </c>
      <c r="Q16" s="186">
        <f t="shared" si="1"/>
        <v>0</v>
      </c>
      <c r="R16" s="186">
        <f t="shared" si="2"/>
        <v>0</v>
      </c>
      <c r="S16" s="186">
        <f t="shared" si="3"/>
        <v>0</v>
      </c>
      <c r="T16" s="186">
        <f t="shared" si="4"/>
        <v>0</v>
      </c>
      <c r="U16" s="186">
        <f t="shared" si="5"/>
        <v>0</v>
      </c>
      <c r="V16" s="186">
        <f t="shared" si="6"/>
        <v>0</v>
      </c>
      <c r="W16" s="186">
        <f t="shared" si="7"/>
        <v>0</v>
      </c>
      <c r="X16" s="186">
        <f>SUMIFS(Flat_file!$I:$I,Flat_file!$B:$B,Result_summary!$C$1,Flat_file!$C:$C,"Women",Flat_file!$D:$D,"18-24",Flat_file!$E:$E,"E",Flat_file!$H:$H,"E",Flat_file!$G:$G,"Tertiary")</f>
        <v>0</v>
      </c>
      <c r="Y16" s="186">
        <f>SUMIFS(Flat_file!$I:$I,Flat_file!$B:$B,Result_summary!$C$1,Flat_file!$C:$C,"Women",Flat_file!$D:$D,"18-24",Flat_file!$E:$E,"E",Flat_file!$F:$F,"Yes",Flat_file!$H:$H,"E",Flat_file!$G:$G,"Tertiary")</f>
        <v>0</v>
      </c>
      <c r="Z16" s="186">
        <f>SUMIFS(Flat_file!$I:$I,Flat_file!$B:$B,Result_summary!$C$1,Flat_file!$C:$C,"Women",Flat_file!$D:$D,"18-24",Flat_file!$E:$E,"E",Flat_file!$H:$H,"U",Flat_file!$G:$G,"Tertiary")</f>
        <v>0</v>
      </c>
      <c r="AA16" s="186">
        <f>SUMIFS(Flat_file!$I:$I,Flat_file!$B:$B,Result_summary!$C$1,Flat_file!$C:$C,"Women",Flat_file!$D:$D,"18-24",Flat_file!$E:$E,"E",Flat_file!$H:$H,"I",Flat_file!$G:$G,"Tertiary")</f>
        <v>0</v>
      </c>
      <c r="AC16" s="187">
        <f>SUMIFS(Flat_file!$J:$J,Flat_file!$B:$B,Result_summary!$C$1,Flat_file!$C:$C,"Women",Flat_file!$D:$D,"15-19",Flat_file!$E:$E,"E",Flat_file!$H:$H,"E",Flat_file!$G:$G,"Tertiary")</f>
        <v>0</v>
      </c>
      <c r="AD16" s="184">
        <f>SUMIFS(Flat_file!$J:$J,Flat_file!$B:$B,Result_summary!$C$1,Flat_file!$C:$C,"Women",Flat_file!$D:$D,"15-19",Flat_file!$E:$E,"E",Flat_file!$F:$F,"Yes",Flat_file!$H:$H,"E",Flat_file!$G:$G,"Tertiary")</f>
        <v>0</v>
      </c>
      <c r="AE16" s="184">
        <f>SUMIFS(Flat_file!$J:$J,Flat_file!$B:$B,Result_summary!$C$1,Flat_file!$C:$C,"Women",Flat_file!$D:$D,"20-24",Flat_file!$E:$E,"E",Flat_file!$H:$H,"E",Flat_file!$G:$G,"Tertiary")</f>
        <v>0</v>
      </c>
      <c r="AF16" s="184">
        <f>SUMIFS(Flat_file!$J:$J,Flat_file!$B:$B,Result_summary!$C$1,Flat_file!$C:$C,"Women",Flat_file!$D:$D,"20-24",Flat_file!$E:$E,"E",Flat_file!$F:$F,"Yes",Flat_file!$H:$H,"E",Flat_file!$G:$G,"Tertiary")</f>
        <v>0</v>
      </c>
      <c r="AG16" s="184">
        <f>SUMIFS(Flat_file!$J:$J,Flat_file!$B:$B,Result_summary!$C$1,Flat_file!$C:$C,"Women",Flat_file!$D:$D,"25-29",Flat_file!$E:$E,"E",Flat_file!$H:$H,"E",Flat_file!$G:$G,"Tertiary")</f>
        <v>0</v>
      </c>
      <c r="AH16" s="184">
        <f>SUMIFS(Flat_file!$J:$J,Flat_file!$B:$B,Result_summary!$C$1,Flat_file!$C:$C,"Women",Flat_file!$D:$D,"25-29",Flat_file!$E:$E,"E",Flat_file!$F:$F,"Yes",Flat_file!$H:$H,"E",Flat_file!$G:$G,"Tertiary")</f>
        <v>0</v>
      </c>
      <c r="AI16" s="184">
        <f>SUMIFS(Flat_file!$J:$J,Flat_file!$B:$B,Result_summary!$C$1,Flat_file!$C:$C,"Women",Flat_file!$D:$D,"15-19",Flat_file!$E:$E,"E",Flat_file!$H:$H,"U",Flat_file!$G:$G,"Tertiary")</f>
        <v>0</v>
      </c>
      <c r="AJ16" s="184">
        <f>SUMIFS(Flat_file!$J:$J,Flat_file!$B:$B,Result_summary!$C$1,Flat_file!$C:$C,"Women",Flat_file!$D:$D,"20-24",Flat_file!$E:$E,"E",Flat_file!$H:$H,"U",Flat_file!$G:$G,"Tertiary")</f>
        <v>0</v>
      </c>
      <c r="AK16" s="184">
        <f>SUMIFS(Flat_file!$J:$J,Flat_file!$B:$B,Result_summary!$C$1,Flat_file!$C:$C,"Women",Flat_file!$D:$D,"25-29",Flat_file!$E:$E,"E",Flat_file!$H:$H,"U",Flat_file!$G:$G,"Tertiary")</f>
        <v>0</v>
      </c>
      <c r="AL16" s="184">
        <f>SUMIFS(Flat_file!$J:$J,Flat_file!$B:$B,Result_summary!$C$1,Flat_file!$C:$C,"Women",Flat_file!$D:$D,"15-19",Flat_file!$E:$E,"E",Flat_file!$H:$H,"I",Flat_file!$G:$G,"Tertiary")</f>
        <v>0</v>
      </c>
      <c r="AM16" s="184">
        <f>SUMIFS(Flat_file!$J:$J,Flat_file!$B:$B,Result_summary!$C$1,Flat_file!$C:$C,"Women",Flat_file!$D:$D,"20-24",Flat_file!$E:$E,"E",Flat_file!$H:$H,"I",Flat_file!$G:$G,"Tertiary")</f>
        <v>0</v>
      </c>
      <c r="AN16" s="184">
        <f>SUMIFS(Flat_file!$J:$J,Flat_file!$B:$B,Result_summary!$C$1,Flat_file!$C:$C,"Women",Flat_file!$D:$D,"25-29",Flat_file!$E:$E,"E",Flat_file!$H:$H,"I",Flat_file!$G:$G,"Tertiary")</f>
        <v>0</v>
      </c>
    </row>
    <row r="17" spans="1:47" s="194" customFormat="1" ht="15.75" customHeight="1" thickBot="1">
      <c r="A17" s="268"/>
      <c r="B17" s="270"/>
      <c r="C17" s="190" t="s">
        <v>53</v>
      </c>
      <c r="D17" s="191">
        <f>SUM(D12,D13,D16)</f>
        <v>0</v>
      </c>
      <c r="E17" s="191">
        <f t="shared" ref="E17:AC17" si="32">SUM(E12,E13,E16)</f>
        <v>0</v>
      </c>
      <c r="F17" s="191">
        <f t="shared" si="32"/>
        <v>0</v>
      </c>
      <c r="G17" s="191">
        <f t="shared" si="32"/>
        <v>0</v>
      </c>
      <c r="H17" s="191">
        <f t="shared" si="32"/>
        <v>0</v>
      </c>
      <c r="I17" s="191">
        <f t="shared" si="32"/>
        <v>0</v>
      </c>
      <c r="J17" s="191">
        <f t="shared" si="32"/>
        <v>0</v>
      </c>
      <c r="K17" s="191">
        <f t="shared" si="32"/>
        <v>0</v>
      </c>
      <c r="L17" s="191">
        <f t="shared" si="32"/>
        <v>0</v>
      </c>
      <c r="M17" s="191">
        <f t="shared" si="32"/>
        <v>0</v>
      </c>
      <c r="N17" s="191">
        <f t="shared" si="32"/>
        <v>0</v>
      </c>
      <c r="O17" s="192">
        <f t="shared" si="32"/>
        <v>0</v>
      </c>
      <c r="P17" s="193">
        <f t="shared" ref="P17" si="33">D17+F17</f>
        <v>0</v>
      </c>
      <c r="Q17" s="193">
        <f t="shared" ref="Q17" si="34">E17+G17</f>
        <v>0</v>
      </c>
      <c r="R17" s="193">
        <f t="shared" ref="R17" si="35">J17+K17</f>
        <v>0</v>
      </c>
      <c r="S17" s="193">
        <f t="shared" ref="S17" si="36">M17+N17</f>
        <v>0</v>
      </c>
      <c r="T17" s="193">
        <f t="shared" ref="T17" si="37">D17+F17+H17</f>
        <v>0</v>
      </c>
      <c r="U17" s="193">
        <f t="shared" ref="U17" si="38">E17+G17+I17</f>
        <v>0</v>
      </c>
      <c r="V17" s="193">
        <f t="shared" ref="V17" si="39">J17+K17+L17</f>
        <v>0</v>
      </c>
      <c r="W17" s="193">
        <f t="shared" ref="W17" si="40">M17+N17+O17</f>
        <v>0</v>
      </c>
      <c r="X17" s="193">
        <f t="shared" si="32"/>
        <v>0</v>
      </c>
      <c r="Y17" s="193">
        <f t="shared" si="32"/>
        <v>0</v>
      </c>
      <c r="Z17" s="193">
        <f t="shared" si="32"/>
        <v>0</v>
      </c>
      <c r="AA17" s="193">
        <f t="shared" si="32"/>
        <v>0</v>
      </c>
      <c r="AC17" s="195">
        <f t="shared" si="32"/>
        <v>0</v>
      </c>
      <c r="AD17" s="191">
        <f t="shared" ref="AD17" si="41">SUM(AD12,AD13,AD16)</f>
        <v>0</v>
      </c>
      <c r="AE17" s="191">
        <f t="shared" ref="AE17" si="42">SUM(AE12,AE13,AE16)</f>
        <v>0</v>
      </c>
      <c r="AF17" s="191">
        <f t="shared" ref="AF17" si="43">SUM(AF12,AF13,AF16)</f>
        <v>0</v>
      </c>
      <c r="AG17" s="191">
        <f t="shared" ref="AG17" si="44">SUM(AG12,AG13,AG16)</f>
        <v>0</v>
      </c>
      <c r="AH17" s="191">
        <f t="shared" ref="AH17" si="45">SUM(AH12,AH13,AH16)</f>
        <v>0</v>
      </c>
      <c r="AI17" s="191">
        <f t="shared" ref="AI17" si="46">SUM(AI12,AI13,AI16)</f>
        <v>0</v>
      </c>
      <c r="AJ17" s="191">
        <f t="shared" ref="AJ17" si="47">SUM(AJ12,AJ13,AJ16)</f>
        <v>0</v>
      </c>
      <c r="AK17" s="191">
        <f t="shared" ref="AK17" si="48">SUM(AK12,AK13,AK16)</f>
        <v>0</v>
      </c>
      <c r="AL17" s="191">
        <f t="shared" ref="AL17" si="49">SUM(AL12,AL13,AL16)</f>
        <v>0</v>
      </c>
      <c r="AM17" s="191">
        <f t="shared" ref="AM17" si="50">SUM(AM12,AM13,AM16)</f>
        <v>0</v>
      </c>
      <c r="AN17" s="191">
        <f t="shared" ref="AN17" si="51">SUM(AN12,AN13,AN16)</f>
        <v>0</v>
      </c>
      <c r="AP17" s="161"/>
      <c r="AQ17" s="161"/>
      <c r="AR17" s="161"/>
      <c r="AS17" s="161"/>
      <c r="AT17" s="161"/>
      <c r="AU17" s="161"/>
    </row>
    <row r="18" spans="1:47" ht="15.75" customHeight="1">
      <c r="A18" s="266" t="s">
        <v>53</v>
      </c>
      <c r="B18" s="270"/>
      <c r="C18" s="176" t="s">
        <v>11</v>
      </c>
      <c r="D18" s="177">
        <f t="shared" ref="D18:O18" si="52">D12+D6</f>
        <v>0</v>
      </c>
      <c r="E18" s="177">
        <f t="shared" si="52"/>
        <v>0</v>
      </c>
      <c r="F18" s="177">
        <f t="shared" si="52"/>
        <v>0</v>
      </c>
      <c r="G18" s="177">
        <f t="shared" si="52"/>
        <v>0</v>
      </c>
      <c r="H18" s="177">
        <f t="shared" si="52"/>
        <v>0</v>
      </c>
      <c r="I18" s="178">
        <f t="shared" si="52"/>
        <v>0</v>
      </c>
      <c r="J18" s="178">
        <f t="shared" si="52"/>
        <v>0</v>
      </c>
      <c r="K18" s="178">
        <f t="shared" si="52"/>
        <v>0</v>
      </c>
      <c r="L18" s="178">
        <f t="shared" si="52"/>
        <v>0</v>
      </c>
      <c r="M18" s="178">
        <f t="shared" si="52"/>
        <v>0</v>
      </c>
      <c r="N18" s="178">
        <f t="shared" si="52"/>
        <v>0</v>
      </c>
      <c r="O18" s="179">
        <f t="shared" si="52"/>
        <v>0</v>
      </c>
      <c r="P18" s="180">
        <f t="shared" si="0"/>
        <v>0</v>
      </c>
      <c r="Q18" s="180">
        <f t="shared" si="1"/>
        <v>0</v>
      </c>
      <c r="R18" s="180">
        <f t="shared" si="2"/>
        <v>0</v>
      </c>
      <c r="S18" s="180">
        <f t="shared" si="3"/>
        <v>0</v>
      </c>
      <c r="T18" s="180">
        <f t="shared" si="4"/>
        <v>0</v>
      </c>
      <c r="U18" s="180">
        <f t="shared" si="5"/>
        <v>0</v>
      </c>
      <c r="V18" s="180">
        <f t="shared" si="6"/>
        <v>0</v>
      </c>
      <c r="W18" s="180">
        <f t="shared" si="7"/>
        <v>0</v>
      </c>
      <c r="X18" s="180">
        <f t="shared" ref="X18:AA19" si="53">X12+X6</f>
        <v>0</v>
      </c>
      <c r="Y18" s="180">
        <f t="shared" si="53"/>
        <v>0</v>
      </c>
      <c r="Z18" s="180">
        <f t="shared" si="53"/>
        <v>0</v>
      </c>
      <c r="AA18" s="180">
        <f t="shared" si="53"/>
        <v>0</v>
      </c>
      <c r="AC18" s="181">
        <f t="shared" ref="AC18:AN18" si="54">AC12+AC6</f>
        <v>0</v>
      </c>
      <c r="AD18" s="178">
        <f t="shared" si="54"/>
        <v>0</v>
      </c>
      <c r="AE18" s="178">
        <f t="shared" si="54"/>
        <v>0</v>
      </c>
      <c r="AF18" s="178">
        <f t="shared" si="54"/>
        <v>0</v>
      </c>
      <c r="AG18" s="178">
        <f t="shared" si="54"/>
        <v>0</v>
      </c>
      <c r="AH18" s="178">
        <f t="shared" si="54"/>
        <v>0</v>
      </c>
      <c r="AI18" s="178">
        <f t="shared" si="54"/>
        <v>0</v>
      </c>
      <c r="AJ18" s="178">
        <f t="shared" si="54"/>
        <v>0</v>
      </c>
      <c r="AK18" s="178">
        <f t="shared" si="54"/>
        <v>0</v>
      </c>
      <c r="AL18" s="178">
        <f t="shared" si="54"/>
        <v>0</v>
      </c>
      <c r="AM18" s="178">
        <f t="shared" si="54"/>
        <v>0</v>
      </c>
      <c r="AN18" s="178">
        <f t="shared" si="54"/>
        <v>0</v>
      </c>
    </row>
    <row r="19" spans="1:47" ht="15.75" customHeight="1">
      <c r="A19" s="267"/>
      <c r="B19" s="270"/>
      <c r="C19" s="182" t="s">
        <v>12</v>
      </c>
      <c r="D19" s="183">
        <f t="shared" ref="D19:O19" si="55">D13+D7</f>
        <v>0</v>
      </c>
      <c r="E19" s="183">
        <f t="shared" si="55"/>
        <v>0</v>
      </c>
      <c r="F19" s="183">
        <f t="shared" si="55"/>
        <v>0</v>
      </c>
      <c r="G19" s="183">
        <f t="shared" si="55"/>
        <v>0</v>
      </c>
      <c r="H19" s="183">
        <f t="shared" si="55"/>
        <v>0</v>
      </c>
      <c r="I19" s="184">
        <f t="shared" si="55"/>
        <v>0</v>
      </c>
      <c r="J19" s="184">
        <f t="shared" si="55"/>
        <v>0</v>
      </c>
      <c r="K19" s="184">
        <f t="shared" si="55"/>
        <v>0</v>
      </c>
      <c r="L19" s="184">
        <f t="shared" si="55"/>
        <v>0</v>
      </c>
      <c r="M19" s="184">
        <f t="shared" si="55"/>
        <v>0</v>
      </c>
      <c r="N19" s="184">
        <f t="shared" si="55"/>
        <v>0</v>
      </c>
      <c r="O19" s="185">
        <f t="shared" si="55"/>
        <v>0</v>
      </c>
      <c r="P19" s="186">
        <f t="shared" si="0"/>
        <v>0</v>
      </c>
      <c r="Q19" s="186">
        <f t="shared" si="1"/>
        <v>0</v>
      </c>
      <c r="R19" s="186">
        <f t="shared" si="2"/>
        <v>0</v>
      </c>
      <c r="S19" s="186">
        <f t="shared" si="3"/>
        <v>0</v>
      </c>
      <c r="T19" s="186">
        <f t="shared" si="4"/>
        <v>0</v>
      </c>
      <c r="U19" s="186">
        <f t="shared" si="5"/>
        <v>0</v>
      </c>
      <c r="V19" s="186">
        <f t="shared" si="6"/>
        <v>0</v>
      </c>
      <c r="W19" s="186">
        <f t="shared" si="7"/>
        <v>0</v>
      </c>
      <c r="X19" s="186">
        <f t="shared" si="53"/>
        <v>0</v>
      </c>
      <c r="Y19" s="186">
        <f t="shared" si="53"/>
        <v>0</v>
      </c>
      <c r="Z19" s="186">
        <f t="shared" si="53"/>
        <v>0</v>
      </c>
      <c r="AA19" s="186">
        <f t="shared" si="53"/>
        <v>0</v>
      </c>
      <c r="AC19" s="187">
        <f t="shared" ref="AC19:AN19" si="56">AC13+AC7</f>
        <v>0</v>
      </c>
      <c r="AD19" s="184">
        <f t="shared" si="56"/>
        <v>0</v>
      </c>
      <c r="AE19" s="184">
        <f t="shared" si="56"/>
        <v>0</v>
      </c>
      <c r="AF19" s="184">
        <f t="shared" si="56"/>
        <v>0</v>
      </c>
      <c r="AG19" s="184">
        <f t="shared" si="56"/>
        <v>0</v>
      </c>
      <c r="AH19" s="184">
        <f t="shared" si="56"/>
        <v>0</v>
      </c>
      <c r="AI19" s="184">
        <f t="shared" si="56"/>
        <v>0</v>
      </c>
      <c r="AJ19" s="184">
        <f t="shared" si="56"/>
        <v>0</v>
      </c>
      <c r="AK19" s="184">
        <f t="shared" si="56"/>
        <v>0</v>
      </c>
      <c r="AL19" s="184">
        <f t="shared" si="56"/>
        <v>0</v>
      </c>
      <c r="AM19" s="184">
        <f t="shared" si="56"/>
        <v>0</v>
      </c>
      <c r="AN19" s="184">
        <f t="shared" si="56"/>
        <v>0</v>
      </c>
    </row>
    <row r="20" spans="1:47" ht="15.75" customHeight="1">
      <c r="A20" s="267"/>
      <c r="B20" s="270"/>
      <c r="C20" s="224" t="s">
        <v>227</v>
      </c>
      <c r="D20" s="183">
        <f t="shared" ref="D20:O20" si="57">D14+D8</f>
        <v>0</v>
      </c>
      <c r="E20" s="183">
        <f t="shared" si="57"/>
        <v>0</v>
      </c>
      <c r="F20" s="183">
        <f t="shared" si="57"/>
        <v>0</v>
      </c>
      <c r="G20" s="183">
        <f t="shared" si="57"/>
        <v>0</v>
      </c>
      <c r="H20" s="183">
        <f t="shared" si="57"/>
        <v>0</v>
      </c>
      <c r="I20" s="184">
        <f t="shared" si="57"/>
        <v>0</v>
      </c>
      <c r="J20" s="184">
        <f t="shared" si="57"/>
        <v>0</v>
      </c>
      <c r="K20" s="184">
        <f t="shared" si="57"/>
        <v>0</v>
      </c>
      <c r="L20" s="184">
        <f t="shared" si="57"/>
        <v>0</v>
      </c>
      <c r="M20" s="184">
        <f t="shared" si="57"/>
        <v>0</v>
      </c>
      <c r="N20" s="184">
        <f t="shared" si="57"/>
        <v>0</v>
      </c>
      <c r="O20" s="185">
        <f t="shared" si="57"/>
        <v>0</v>
      </c>
      <c r="P20" s="186">
        <f t="shared" ref="P20:P22" si="58">D20+F20</f>
        <v>0</v>
      </c>
      <c r="Q20" s="186">
        <f t="shared" ref="Q20:Q22" si="59">E20+G20</f>
        <v>0</v>
      </c>
      <c r="R20" s="186">
        <f t="shared" ref="R20:R22" si="60">J20+K20</f>
        <v>0</v>
      </c>
      <c r="S20" s="186">
        <f t="shared" ref="S20:S22" si="61">M20+N20</f>
        <v>0</v>
      </c>
      <c r="T20" s="186">
        <f t="shared" ref="T20:T22" si="62">D20+F20+H20</f>
        <v>0</v>
      </c>
      <c r="U20" s="186">
        <f t="shared" ref="U20:U22" si="63">E20+G20+I20</f>
        <v>0</v>
      </c>
      <c r="V20" s="186">
        <f t="shared" ref="V20:V22" si="64">J20+K20+L20</f>
        <v>0</v>
      </c>
      <c r="W20" s="186">
        <f t="shared" ref="W20:W22" si="65">M20+N20+O20</f>
        <v>0</v>
      </c>
      <c r="X20" s="186">
        <f t="shared" ref="X20:AA20" si="66">X14+X8</f>
        <v>0</v>
      </c>
      <c r="Y20" s="186">
        <f t="shared" si="66"/>
        <v>0</v>
      </c>
      <c r="Z20" s="186">
        <f t="shared" si="66"/>
        <v>0</v>
      </c>
      <c r="AA20" s="186">
        <f t="shared" si="66"/>
        <v>0</v>
      </c>
      <c r="AC20" s="187">
        <f t="shared" ref="AC20:AN20" si="67">AC14+AC8</f>
        <v>0</v>
      </c>
      <c r="AD20" s="184">
        <f t="shared" si="67"/>
        <v>0</v>
      </c>
      <c r="AE20" s="184">
        <f t="shared" si="67"/>
        <v>0</v>
      </c>
      <c r="AF20" s="184">
        <f t="shared" si="67"/>
        <v>0</v>
      </c>
      <c r="AG20" s="184">
        <f t="shared" si="67"/>
        <v>0</v>
      </c>
      <c r="AH20" s="184">
        <f t="shared" si="67"/>
        <v>0</v>
      </c>
      <c r="AI20" s="184">
        <f t="shared" si="67"/>
        <v>0</v>
      </c>
      <c r="AJ20" s="184">
        <f t="shared" si="67"/>
        <v>0</v>
      </c>
      <c r="AK20" s="184">
        <f t="shared" si="67"/>
        <v>0</v>
      </c>
      <c r="AL20" s="184">
        <f t="shared" si="67"/>
        <v>0</v>
      </c>
      <c r="AM20" s="184">
        <f t="shared" si="67"/>
        <v>0</v>
      </c>
      <c r="AN20" s="184">
        <f t="shared" si="67"/>
        <v>0</v>
      </c>
    </row>
    <row r="21" spans="1:47" ht="15.75" customHeight="1">
      <c r="A21" s="267"/>
      <c r="B21" s="270"/>
      <c r="C21" s="224" t="s">
        <v>228</v>
      </c>
      <c r="D21" s="183">
        <f t="shared" ref="D21:O21" si="68">D15+D9</f>
        <v>0</v>
      </c>
      <c r="E21" s="183">
        <f t="shared" si="68"/>
        <v>0</v>
      </c>
      <c r="F21" s="183">
        <f t="shared" si="68"/>
        <v>0</v>
      </c>
      <c r="G21" s="183">
        <f t="shared" si="68"/>
        <v>0</v>
      </c>
      <c r="H21" s="183">
        <f t="shared" si="68"/>
        <v>0</v>
      </c>
      <c r="I21" s="184">
        <f t="shared" si="68"/>
        <v>0</v>
      </c>
      <c r="J21" s="184">
        <f t="shared" si="68"/>
        <v>0</v>
      </c>
      <c r="K21" s="184">
        <f t="shared" si="68"/>
        <v>0</v>
      </c>
      <c r="L21" s="184">
        <f t="shared" si="68"/>
        <v>0</v>
      </c>
      <c r="M21" s="184">
        <f t="shared" si="68"/>
        <v>0</v>
      </c>
      <c r="N21" s="184">
        <f t="shared" si="68"/>
        <v>0</v>
      </c>
      <c r="O21" s="185">
        <f t="shared" si="68"/>
        <v>0</v>
      </c>
      <c r="P21" s="186">
        <f t="shared" si="58"/>
        <v>0</v>
      </c>
      <c r="Q21" s="186">
        <f t="shared" si="59"/>
        <v>0</v>
      </c>
      <c r="R21" s="186">
        <f t="shared" si="60"/>
        <v>0</v>
      </c>
      <c r="S21" s="186">
        <f t="shared" si="61"/>
        <v>0</v>
      </c>
      <c r="T21" s="186">
        <f t="shared" si="62"/>
        <v>0</v>
      </c>
      <c r="U21" s="186">
        <f t="shared" si="63"/>
        <v>0</v>
      </c>
      <c r="V21" s="186">
        <f t="shared" si="64"/>
        <v>0</v>
      </c>
      <c r="W21" s="186">
        <f t="shared" si="65"/>
        <v>0</v>
      </c>
      <c r="X21" s="186">
        <f>X15+X9</f>
        <v>0</v>
      </c>
      <c r="Y21" s="186">
        <f t="shared" ref="Y21:AA21" si="69">Y15+Y9</f>
        <v>0</v>
      </c>
      <c r="Z21" s="186">
        <f t="shared" si="69"/>
        <v>0</v>
      </c>
      <c r="AA21" s="186">
        <f t="shared" si="69"/>
        <v>0</v>
      </c>
      <c r="AC21" s="187">
        <f t="shared" ref="AC21:AN21" si="70">AC15+AC9</f>
        <v>0</v>
      </c>
      <c r="AD21" s="184">
        <f t="shared" si="70"/>
        <v>0</v>
      </c>
      <c r="AE21" s="184">
        <f t="shared" si="70"/>
        <v>0</v>
      </c>
      <c r="AF21" s="184">
        <f t="shared" si="70"/>
        <v>0</v>
      </c>
      <c r="AG21" s="184">
        <f t="shared" si="70"/>
        <v>0</v>
      </c>
      <c r="AH21" s="184">
        <f t="shared" si="70"/>
        <v>0</v>
      </c>
      <c r="AI21" s="184">
        <f t="shared" si="70"/>
        <v>0</v>
      </c>
      <c r="AJ21" s="184">
        <f t="shared" si="70"/>
        <v>0</v>
      </c>
      <c r="AK21" s="184">
        <f t="shared" si="70"/>
        <v>0</v>
      </c>
      <c r="AL21" s="184">
        <f t="shared" si="70"/>
        <v>0</v>
      </c>
      <c r="AM21" s="184">
        <f t="shared" si="70"/>
        <v>0</v>
      </c>
      <c r="AN21" s="184">
        <f t="shared" si="70"/>
        <v>0</v>
      </c>
      <c r="AP21" s="194"/>
      <c r="AQ21" s="194"/>
      <c r="AR21" s="194"/>
      <c r="AS21" s="194"/>
      <c r="AT21" s="194"/>
      <c r="AU21" s="194"/>
    </row>
    <row r="22" spans="1:47" ht="15.75" customHeight="1">
      <c r="A22" s="267"/>
      <c r="B22" s="270"/>
      <c r="C22" s="182" t="s">
        <v>9</v>
      </c>
      <c r="D22" s="183">
        <f t="shared" ref="D22:O22" si="71">D16+D10</f>
        <v>0</v>
      </c>
      <c r="E22" s="183">
        <f t="shared" si="71"/>
        <v>0</v>
      </c>
      <c r="F22" s="183">
        <f t="shared" si="71"/>
        <v>0</v>
      </c>
      <c r="G22" s="183">
        <f t="shared" si="71"/>
        <v>0</v>
      </c>
      <c r="H22" s="183">
        <f t="shared" si="71"/>
        <v>0</v>
      </c>
      <c r="I22" s="184">
        <f t="shared" si="71"/>
        <v>0</v>
      </c>
      <c r="J22" s="184">
        <f t="shared" si="71"/>
        <v>0</v>
      </c>
      <c r="K22" s="184">
        <f t="shared" si="71"/>
        <v>0</v>
      </c>
      <c r="L22" s="184">
        <f t="shared" si="71"/>
        <v>0</v>
      </c>
      <c r="M22" s="184">
        <f t="shared" si="71"/>
        <v>0</v>
      </c>
      <c r="N22" s="184">
        <f t="shared" si="71"/>
        <v>0</v>
      </c>
      <c r="O22" s="185">
        <f t="shared" si="71"/>
        <v>0</v>
      </c>
      <c r="P22" s="186">
        <f t="shared" si="58"/>
        <v>0</v>
      </c>
      <c r="Q22" s="186">
        <f t="shared" si="59"/>
        <v>0</v>
      </c>
      <c r="R22" s="186">
        <f t="shared" si="60"/>
        <v>0</v>
      </c>
      <c r="S22" s="186">
        <f t="shared" si="61"/>
        <v>0</v>
      </c>
      <c r="T22" s="186">
        <f t="shared" si="62"/>
        <v>0</v>
      </c>
      <c r="U22" s="186">
        <f t="shared" si="63"/>
        <v>0</v>
      </c>
      <c r="V22" s="186">
        <f t="shared" si="64"/>
        <v>0</v>
      </c>
      <c r="W22" s="186">
        <f t="shared" si="65"/>
        <v>0</v>
      </c>
      <c r="X22" s="186">
        <f t="shared" ref="X22:AA22" si="72">X16+X10</f>
        <v>0</v>
      </c>
      <c r="Y22" s="186">
        <f t="shared" si="72"/>
        <v>0</v>
      </c>
      <c r="Z22" s="186">
        <f t="shared" si="72"/>
        <v>0</v>
      </c>
      <c r="AA22" s="186">
        <f t="shared" si="72"/>
        <v>0</v>
      </c>
      <c r="AC22" s="187">
        <f t="shared" ref="AC22:AN22" si="73">AC16+AC10</f>
        <v>0</v>
      </c>
      <c r="AD22" s="184">
        <f t="shared" si="73"/>
        <v>0</v>
      </c>
      <c r="AE22" s="184">
        <f t="shared" si="73"/>
        <v>0</v>
      </c>
      <c r="AF22" s="184">
        <f t="shared" si="73"/>
        <v>0</v>
      </c>
      <c r="AG22" s="184">
        <f t="shared" si="73"/>
        <v>0</v>
      </c>
      <c r="AH22" s="184">
        <f t="shared" si="73"/>
        <v>0</v>
      </c>
      <c r="AI22" s="184">
        <f t="shared" si="73"/>
        <v>0</v>
      </c>
      <c r="AJ22" s="184">
        <f t="shared" si="73"/>
        <v>0</v>
      </c>
      <c r="AK22" s="184">
        <f t="shared" si="73"/>
        <v>0</v>
      </c>
      <c r="AL22" s="184">
        <f t="shared" si="73"/>
        <v>0</v>
      </c>
      <c r="AM22" s="184">
        <f t="shared" si="73"/>
        <v>0</v>
      </c>
      <c r="AN22" s="184">
        <f t="shared" si="73"/>
        <v>0</v>
      </c>
    </row>
    <row r="23" spans="1:47" s="194" customFormat="1" ht="15.75" customHeight="1" thickBot="1">
      <c r="A23" s="272"/>
      <c r="B23" s="271"/>
      <c r="C23" s="190" t="s">
        <v>53</v>
      </c>
      <c r="D23" s="191">
        <f t="shared" ref="D23" si="74">D17+D11</f>
        <v>0</v>
      </c>
      <c r="E23" s="191">
        <f t="shared" ref="E23:O23" si="75">E17+E11</f>
        <v>0</v>
      </c>
      <c r="F23" s="191">
        <f t="shared" si="75"/>
        <v>0</v>
      </c>
      <c r="G23" s="191">
        <f t="shared" si="75"/>
        <v>0</v>
      </c>
      <c r="H23" s="191">
        <f t="shared" si="75"/>
        <v>0</v>
      </c>
      <c r="I23" s="191">
        <f t="shared" si="75"/>
        <v>0</v>
      </c>
      <c r="J23" s="191">
        <f t="shared" si="75"/>
        <v>0</v>
      </c>
      <c r="K23" s="191">
        <f t="shared" si="75"/>
        <v>0</v>
      </c>
      <c r="L23" s="191">
        <f t="shared" si="75"/>
        <v>0</v>
      </c>
      <c r="M23" s="191">
        <f t="shared" si="75"/>
        <v>0</v>
      </c>
      <c r="N23" s="191">
        <f t="shared" si="75"/>
        <v>0</v>
      </c>
      <c r="O23" s="192">
        <f t="shared" si="75"/>
        <v>0</v>
      </c>
      <c r="P23" s="193">
        <f t="shared" si="0"/>
        <v>0</v>
      </c>
      <c r="Q23" s="193">
        <f t="shared" si="1"/>
        <v>0</v>
      </c>
      <c r="R23" s="193">
        <f t="shared" si="2"/>
        <v>0</v>
      </c>
      <c r="S23" s="193">
        <f t="shared" si="3"/>
        <v>0</v>
      </c>
      <c r="T23" s="193">
        <f t="shared" si="4"/>
        <v>0</v>
      </c>
      <c r="U23" s="193">
        <f t="shared" si="5"/>
        <v>0</v>
      </c>
      <c r="V23" s="193">
        <f t="shared" si="6"/>
        <v>0</v>
      </c>
      <c r="W23" s="193">
        <f t="shared" si="7"/>
        <v>0</v>
      </c>
      <c r="X23" s="193">
        <f t="shared" ref="X23:AA23" si="76">X17+X11</f>
        <v>0</v>
      </c>
      <c r="Y23" s="193">
        <f t="shared" si="76"/>
        <v>0</v>
      </c>
      <c r="Z23" s="193">
        <f t="shared" si="76"/>
        <v>0</v>
      </c>
      <c r="AA23" s="193">
        <f t="shared" si="76"/>
        <v>0</v>
      </c>
      <c r="AC23" s="195">
        <f t="shared" ref="AC23:AN23" si="77">AC17+AC11</f>
        <v>0</v>
      </c>
      <c r="AD23" s="191">
        <f t="shared" si="77"/>
        <v>0</v>
      </c>
      <c r="AE23" s="191">
        <f t="shared" si="77"/>
        <v>0</v>
      </c>
      <c r="AF23" s="191">
        <f t="shared" si="77"/>
        <v>0</v>
      </c>
      <c r="AG23" s="191">
        <f t="shared" si="77"/>
        <v>0</v>
      </c>
      <c r="AH23" s="191">
        <f t="shared" si="77"/>
        <v>0</v>
      </c>
      <c r="AI23" s="191">
        <f t="shared" si="77"/>
        <v>0</v>
      </c>
      <c r="AJ23" s="191">
        <f t="shared" si="77"/>
        <v>0</v>
      </c>
      <c r="AK23" s="191">
        <f t="shared" si="77"/>
        <v>0</v>
      </c>
      <c r="AL23" s="191">
        <f t="shared" si="77"/>
        <v>0</v>
      </c>
      <c r="AM23" s="191">
        <f t="shared" si="77"/>
        <v>0</v>
      </c>
      <c r="AN23" s="191">
        <f t="shared" si="77"/>
        <v>0</v>
      </c>
      <c r="AP23" s="161"/>
      <c r="AQ23" s="161"/>
      <c r="AR23" s="161"/>
      <c r="AS23" s="161"/>
      <c r="AT23" s="161"/>
      <c r="AU23" s="161"/>
    </row>
    <row r="24" spans="1:47" ht="13.5" thickBot="1">
      <c r="AC24" s="162"/>
      <c r="AD24" s="162"/>
      <c r="AE24" s="162"/>
      <c r="AF24" s="162"/>
      <c r="AG24" s="162"/>
      <c r="AH24" s="162"/>
      <c r="AI24" s="162"/>
      <c r="AJ24" s="162"/>
      <c r="AK24" s="162"/>
      <c r="AL24" s="162"/>
      <c r="AM24" s="162"/>
      <c r="AN24" s="196"/>
    </row>
    <row r="25" spans="1:47" ht="27" customHeight="1">
      <c r="A25" s="273"/>
      <c r="B25" s="274"/>
      <c r="C25" s="275"/>
      <c r="D25" s="263" t="s">
        <v>4</v>
      </c>
      <c r="E25" s="261"/>
      <c r="F25" s="261"/>
      <c r="G25" s="261"/>
      <c r="H25" s="261"/>
      <c r="I25" s="261"/>
      <c r="J25" s="261"/>
      <c r="K25" s="261"/>
      <c r="L25" s="261"/>
      <c r="M25" s="261"/>
      <c r="N25" s="261"/>
      <c r="O25" s="264"/>
      <c r="P25" s="252" t="s">
        <v>213</v>
      </c>
      <c r="Q25" s="252"/>
      <c r="R25" s="252"/>
      <c r="S25" s="252"/>
      <c r="T25" s="252" t="s">
        <v>191</v>
      </c>
      <c r="U25" s="252"/>
      <c r="V25" s="252"/>
      <c r="W25" s="252"/>
      <c r="X25" s="252" t="s">
        <v>192</v>
      </c>
      <c r="Y25" s="252"/>
      <c r="Z25" s="252"/>
      <c r="AA25" s="252"/>
      <c r="AC25" s="260" t="s">
        <v>4</v>
      </c>
      <c r="AD25" s="261"/>
      <c r="AE25" s="261"/>
      <c r="AF25" s="261"/>
      <c r="AG25" s="261"/>
      <c r="AH25" s="261"/>
      <c r="AI25" s="261"/>
      <c r="AJ25" s="261"/>
      <c r="AK25" s="261"/>
      <c r="AL25" s="261"/>
      <c r="AM25" s="261"/>
      <c r="AN25" s="262"/>
    </row>
    <row r="26" spans="1:47" ht="12.75" customHeight="1">
      <c r="A26" s="276"/>
      <c r="B26" s="277"/>
      <c r="C26" s="278"/>
      <c r="D26" s="256" t="s">
        <v>6</v>
      </c>
      <c r="E26" s="257"/>
      <c r="F26" s="257"/>
      <c r="G26" s="257"/>
      <c r="H26" s="257"/>
      <c r="I26" s="257"/>
      <c r="J26" s="256" t="s">
        <v>7</v>
      </c>
      <c r="K26" s="257"/>
      <c r="L26" s="257"/>
      <c r="M26" s="256" t="s">
        <v>8</v>
      </c>
      <c r="N26" s="257"/>
      <c r="O26" s="265"/>
      <c r="P26" s="252" t="s">
        <v>6</v>
      </c>
      <c r="Q26" s="252"/>
      <c r="R26" s="166" t="s">
        <v>7</v>
      </c>
      <c r="S26" s="166" t="s">
        <v>8</v>
      </c>
      <c r="T26" s="252" t="s">
        <v>6</v>
      </c>
      <c r="U26" s="252"/>
      <c r="V26" s="166" t="s">
        <v>7</v>
      </c>
      <c r="W26" s="166" t="s">
        <v>8</v>
      </c>
      <c r="X26" s="252" t="s">
        <v>6</v>
      </c>
      <c r="Y26" s="252"/>
      <c r="Z26" s="166" t="s">
        <v>7</v>
      </c>
      <c r="AA26" s="166" t="s">
        <v>8</v>
      </c>
      <c r="AC26" s="258" t="s">
        <v>6</v>
      </c>
      <c r="AD26" s="257"/>
      <c r="AE26" s="257"/>
      <c r="AF26" s="257"/>
      <c r="AG26" s="257"/>
      <c r="AH26" s="257"/>
      <c r="AI26" s="256" t="s">
        <v>7</v>
      </c>
      <c r="AJ26" s="257"/>
      <c r="AK26" s="257"/>
      <c r="AL26" s="253" t="s">
        <v>8</v>
      </c>
      <c r="AM26" s="254"/>
      <c r="AN26" s="255"/>
    </row>
    <row r="27" spans="1:47" ht="39" thickBot="1">
      <c r="A27" s="279"/>
      <c r="B27" s="280"/>
      <c r="C27" s="281"/>
      <c r="D27" s="168" t="s">
        <v>0</v>
      </c>
      <c r="E27" s="169" t="s">
        <v>5</v>
      </c>
      <c r="F27" s="170" t="s">
        <v>1</v>
      </c>
      <c r="G27" s="169" t="s">
        <v>5</v>
      </c>
      <c r="H27" s="170" t="s">
        <v>2</v>
      </c>
      <c r="I27" s="169" t="s">
        <v>5</v>
      </c>
      <c r="J27" s="170" t="s">
        <v>0</v>
      </c>
      <c r="K27" s="170" t="s">
        <v>1</v>
      </c>
      <c r="L27" s="170" t="s">
        <v>2</v>
      </c>
      <c r="M27" s="170" t="s">
        <v>0</v>
      </c>
      <c r="N27" s="170" t="s">
        <v>1</v>
      </c>
      <c r="O27" s="197" t="s">
        <v>2</v>
      </c>
      <c r="P27" s="172" t="s">
        <v>214</v>
      </c>
      <c r="Q27" s="173" t="s">
        <v>5</v>
      </c>
      <c r="R27" s="172" t="s">
        <v>214</v>
      </c>
      <c r="S27" s="172" t="s">
        <v>214</v>
      </c>
      <c r="T27" s="172" t="s">
        <v>179</v>
      </c>
      <c r="U27" s="173" t="s">
        <v>5</v>
      </c>
      <c r="V27" s="172" t="s">
        <v>179</v>
      </c>
      <c r="W27" s="172" t="s">
        <v>179</v>
      </c>
      <c r="X27" s="172" t="s">
        <v>178</v>
      </c>
      <c r="Y27" s="173" t="s">
        <v>5</v>
      </c>
      <c r="Z27" s="172" t="s">
        <v>178</v>
      </c>
      <c r="AA27" s="172" t="s">
        <v>178</v>
      </c>
      <c r="AC27" s="174" t="s">
        <v>0</v>
      </c>
      <c r="AD27" s="169" t="s">
        <v>5</v>
      </c>
      <c r="AE27" s="170" t="s">
        <v>1</v>
      </c>
      <c r="AF27" s="169" t="s">
        <v>5</v>
      </c>
      <c r="AG27" s="170" t="s">
        <v>2</v>
      </c>
      <c r="AH27" s="169" t="s">
        <v>5</v>
      </c>
      <c r="AI27" s="170" t="s">
        <v>0</v>
      </c>
      <c r="AJ27" s="170" t="s">
        <v>1</v>
      </c>
      <c r="AK27" s="170" t="s">
        <v>2</v>
      </c>
      <c r="AL27" s="170" t="s">
        <v>0</v>
      </c>
      <c r="AM27" s="170" t="s">
        <v>1</v>
      </c>
      <c r="AN27" s="170" t="s">
        <v>2</v>
      </c>
    </row>
    <row r="28" spans="1:47" ht="15.75" customHeight="1">
      <c r="A28" s="266" t="s">
        <v>40</v>
      </c>
      <c r="B28" s="269" t="s">
        <v>10</v>
      </c>
      <c r="C28" s="198" t="s">
        <v>11</v>
      </c>
      <c r="D28" s="178">
        <f>SUMIFS(Flat_file!$I:$I,Flat_file!$B:$B,Result_summary!$C$1,Flat_file!$C:$C,"Men",Flat_file!$D:$D,"15-19",Flat_file!$E:$E,"NE",Flat_file!$H:$H,"E",Flat_file!$G:$G,"Below")</f>
        <v>0</v>
      </c>
      <c r="E28" s="199"/>
      <c r="F28" s="178">
        <f>SUMIFS(Flat_file!$I:$I,Flat_file!$B:$B,Result_summary!$C$1,Flat_file!$C:$C,"Men",Flat_file!$D:$D,"20-24",Flat_file!$E:$E,"NE",Flat_file!$H:$H,"E",Flat_file!$G:$G,"Below")</f>
        <v>0</v>
      </c>
      <c r="G28" s="199"/>
      <c r="H28" s="178">
        <f>SUMIFS(Flat_file!$I:$I,Flat_file!$B:$B,Result_summary!$C$1,Flat_file!$C:$C,"Men",Flat_file!$D:$D,"25-29",Flat_file!$E:$E,"NE",Flat_file!$H:$H,"E",Flat_file!$G:$G,"Below")</f>
        <v>0</v>
      </c>
      <c r="I28" s="199"/>
      <c r="J28" s="178">
        <f>SUMIFS(Flat_file!$I:$I,Flat_file!$B:$B,Result_summary!$C$1,Flat_file!$C:$C,"Men",Flat_file!$D:$D,"15-19",Flat_file!$E:$E,"NE",Flat_file!$H:$H,"U",Flat_file!$G:$G,"Below")</f>
        <v>0</v>
      </c>
      <c r="K28" s="178">
        <f>SUMIFS(Flat_file!$I:$I,Flat_file!$B:$B,Result_summary!$C$1,Flat_file!$C:$C,"Men",Flat_file!$D:$D,"20-24",Flat_file!$E:$E,"NE",Flat_file!$H:$H,"U",Flat_file!$G:$G,"Below")</f>
        <v>0</v>
      </c>
      <c r="L28" s="178">
        <f>SUMIFS(Flat_file!$I:$I,Flat_file!$B:$B,Result_summary!$C$1,Flat_file!$C:$C,"Men",Flat_file!$D:$D,"25-29",Flat_file!$E:$E,"NE",Flat_file!$H:$H,"U",Flat_file!$G:$G,"Below")</f>
        <v>0</v>
      </c>
      <c r="M28" s="178">
        <f>SUMIFS(Flat_file!$I:$I,Flat_file!$B:$B,Result_summary!$C$1,Flat_file!$C:$C,"Men",Flat_file!$D:$D,"15-19",Flat_file!$E:$E,"NE",Flat_file!$H:$H,"I",Flat_file!$G:$G,"Below")</f>
        <v>0</v>
      </c>
      <c r="N28" s="178">
        <f>SUMIFS(Flat_file!$I:$I,Flat_file!$B:$B,Result_summary!$C$1,Flat_file!$C:$C,"Men",Flat_file!$D:$D,"20-24",Flat_file!$E:$E,"NE",Flat_file!$H:$H,"I",Flat_file!$G:$G,"Below")</f>
        <v>0</v>
      </c>
      <c r="O28" s="200">
        <f>SUMIFS(Flat_file!$I:$I,Flat_file!$B:$B,Result_summary!$C$1,Flat_file!$C:$C,"Men",Flat_file!$D:$D,"25-29",Flat_file!$E:$E,"NE",Flat_file!$H:$H,"I",Flat_file!$G:$G,"Below")</f>
        <v>0</v>
      </c>
      <c r="P28" s="201">
        <f t="shared" ref="P28:P45" si="78">D28+F28</f>
        <v>0</v>
      </c>
      <c r="Q28" s="199"/>
      <c r="R28" s="180">
        <f t="shared" ref="R28:R45" si="79">J28+K28</f>
        <v>0</v>
      </c>
      <c r="S28" s="202">
        <f t="shared" ref="S28:S45" si="80">M28+N28</f>
        <v>0</v>
      </c>
      <c r="T28" s="180">
        <f t="shared" ref="T28:T45" si="81">D28+F28+H28</f>
        <v>0</v>
      </c>
      <c r="U28" s="199"/>
      <c r="V28" s="180">
        <f t="shared" ref="V28:V45" si="82">J28+K28+L28</f>
        <v>0</v>
      </c>
      <c r="W28" s="180">
        <f t="shared" ref="W28:W45" si="83">M28+N28+O28</f>
        <v>0</v>
      </c>
      <c r="X28" s="203">
        <f>SUMIFS(Flat_file!$I:$I,Flat_file!$B:$B,Result_summary!$C$1,Flat_file!$C:$C,"Men",Flat_file!$D:$D,"18-24",Flat_file!$E:$E,"NE",Flat_file!$H:$H,"E",Flat_file!$G:$G,"Below")</f>
        <v>0</v>
      </c>
      <c r="Y28" s="199"/>
      <c r="Z28" s="180">
        <f>SUMIFS(Flat_file!$I:$I,Flat_file!$B:$B,Result_summary!$C$1,Flat_file!$C:$C,"Men",Flat_file!$D:$D,"18-24",Flat_file!$E:$E,"NE",Flat_file!$H:$H,"U",Flat_file!$G:$G,"Below")</f>
        <v>0</v>
      </c>
      <c r="AA28" s="180">
        <f>SUMIFS(Flat_file!$I:$I,Flat_file!$B:$B,Result_summary!$C$1,Flat_file!$C:$C,"Men",Flat_file!$D:$D,"18-24",Flat_file!$E:$E,"NE",Flat_file!$H:$H,"I",Flat_file!$G:$G,"Below")</f>
        <v>0</v>
      </c>
      <c r="AC28" s="181">
        <f>SUMIFS(Flat_file!$J:$J,Flat_file!$B:$B,Result_summary!$C$1,Flat_file!$C:$C,"Men",Flat_file!$D:$D,"15-19",Flat_file!$E:$E,"NE",Flat_file!$H:$H,"E",Flat_file!$G:$G,"Below")</f>
        <v>0</v>
      </c>
      <c r="AD28" s="199"/>
      <c r="AE28" s="178">
        <f>SUMIFS(Flat_file!$J:$J,Flat_file!$B:$B,Result_summary!$C$1,Flat_file!$C:$C,"Men",Flat_file!$D:$D,"20-24",Flat_file!$E:$E,"NE",Flat_file!$H:$H,"E",Flat_file!$G:$G,"Below")</f>
        <v>0</v>
      </c>
      <c r="AF28" s="199"/>
      <c r="AG28" s="178">
        <f>SUMIFS(Flat_file!$J:$J,Flat_file!$B:$B,Result_summary!$C$1,Flat_file!$C:$C,"Men",Flat_file!$D:$D,"25-29",Flat_file!$E:$E,"NE",Flat_file!$H:$H,"E",Flat_file!$G:$G,"Below")</f>
        <v>0</v>
      </c>
      <c r="AH28" s="199"/>
      <c r="AI28" s="178">
        <f>SUMIFS(Flat_file!$J:$J,Flat_file!$B:$B,Result_summary!$C$1,Flat_file!$C:$C,"Men",Flat_file!$D:$D,"15-19",Flat_file!$E:$E,"NE",Flat_file!$H:$H,"U",Flat_file!$G:$G,"Below")</f>
        <v>0</v>
      </c>
      <c r="AJ28" s="178">
        <f>SUMIFS(Flat_file!$J:$J,Flat_file!$B:$B,Result_summary!$C$1,Flat_file!$C:$C,"Men",Flat_file!$D:$D,"20-24",Flat_file!$E:$E,"NE",Flat_file!$H:$H,"U",Flat_file!$G:$G,"Below")</f>
        <v>0</v>
      </c>
      <c r="AK28" s="178">
        <f>SUMIFS(Flat_file!$J:$J,Flat_file!$B:$B,Result_summary!$C$1,Flat_file!$C:$C,"Men",Flat_file!$D:$D,"25-29",Flat_file!$E:$E,"NE",Flat_file!$H:$H,"U",Flat_file!$G:$G,"Below")</f>
        <v>0</v>
      </c>
      <c r="AL28" s="178">
        <f>SUMIFS(Flat_file!$J:$J,Flat_file!$B:$B,Result_summary!$C$1,Flat_file!$C:$C,"Men",Flat_file!$D:$D,"15-19",Flat_file!$E:$E,"NE",Flat_file!$H:$H,"I",Flat_file!$G:$G,"Below")</f>
        <v>0</v>
      </c>
      <c r="AM28" s="178">
        <f>SUMIFS(Flat_file!$J:$J,Flat_file!$B:$B,Result_summary!$C$1,Flat_file!$C:$C,"Men",Flat_file!$D:$D,"20-24",Flat_file!$E:$E,"NE",Flat_file!$H:$H,"I",Flat_file!$G:$G,"Below")</f>
        <v>0</v>
      </c>
      <c r="AN28" s="178">
        <f>SUMIFS(Flat_file!$J:$J,Flat_file!$B:$B,Result_summary!$C$1,Flat_file!$C:$C,"Men",Flat_file!$D:$D,"25-29",Flat_file!$E:$E,"NE",Flat_file!$H:$H,"I",Flat_file!$G:$G,"Below")</f>
        <v>0</v>
      </c>
    </row>
    <row r="29" spans="1:47" ht="15.75" customHeight="1">
      <c r="A29" s="267"/>
      <c r="B29" s="270"/>
      <c r="C29" s="204" t="s">
        <v>12</v>
      </c>
      <c r="D29" s="184">
        <f>SUMIFS(Flat_file!$I:$I,Flat_file!$B:$B,Result_summary!$C$1,Flat_file!$C:$C,"Men",Flat_file!$D:$D,"15-19",Flat_file!$E:$E,"NE",Flat_file!$H:$H,"E",Flat_file!$G:$G,"Upper")</f>
        <v>0</v>
      </c>
      <c r="E29" s="205"/>
      <c r="F29" s="184">
        <f>SUMIFS(Flat_file!$I:$I,Flat_file!$B:$B,Result_summary!$C$1,Flat_file!$C:$C,"Men",Flat_file!$D:$D,"20-24",Flat_file!$E:$E,"NE",Flat_file!$H:$H,"E",Flat_file!$G:$G,"Upper")</f>
        <v>0</v>
      </c>
      <c r="G29" s="205"/>
      <c r="H29" s="184">
        <f>SUMIFS(Flat_file!$I:$I,Flat_file!$B:$B,Result_summary!$C$1,Flat_file!$C:$C,"Men",Flat_file!$D:$D,"25-29",Flat_file!$E:$E,"NE",Flat_file!$H:$H,"E",Flat_file!$G:$G,"Upper")</f>
        <v>0</v>
      </c>
      <c r="I29" s="205"/>
      <c r="J29" s="184">
        <f>SUMIFS(Flat_file!$I:$I,Flat_file!$B:$B,Result_summary!$C$1,Flat_file!$C:$C,"Men",Flat_file!$D:$D,"15-19",Flat_file!$E:$E,"NE",Flat_file!$H:$H,"U",Flat_file!$G:$G,"Upper")</f>
        <v>0</v>
      </c>
      <c r="K29" s="184">
        <f>SUMIFS(Flat_file!$I:$I,Flat_file!$B:$B,Result_summary!$C$1,Flat_file!$C:$C,"Men",Flat_file!$D:$D,"20-24",Flat_file!$E:$E,"NE",Flat_file!$H:$H,"U",Flat_file!$G:$G,"Upper")</f>
        <v>0</v>
      </c>
      <c r="L29" s="184">
        <f>SUMIFS(Flat_file!$I:$I,Flat_file!$B:$B,Result_summary!$C$1,Flat_file!$C:$C,"Men",Flat_file!$D:$D,"25-29",Flat_file!$E:$E,"NE",Flat_file!$H:$H,"U",Flat_file!$G:$G,"Upper")</f>
        <v>0</v>
      </c>
      <c r="M29" s="184">
        <f>SUMIFS(Flat_file!$I:$I,Flat_file!$B:$B,Result_summary!$C$1,Flat_file!$C:$C,"Men",Flat_file!$D:$D,"15-19",Flat_file!$E:$E,"NE",Flat_file!$H:$H,"I",Flat_file!$G:$G,"Upper")</f>
        <v>0</v>
      </c>
      <c r="N29" s="184">
        <f>SUMIFS(Flat_file!$I:$I,Flat_file!$B:$B,Result_summary!$C$1,Flat_file!$C:$C,"Men",Flat_file!$D:$D,"20-24",Flat_file!$E:$E,"NE",Flat_file!$H:$H,"I",Flat_file!$G:$G,"Upper")</f>
        <v>0</v>
      </c>
      <c r="O29" s="206">
        <f>SUMIFS(Flat_file!$I:$I,Flat_file!$B:$B,Result_summary!$C$1,Flat_file!$C:$C,"Men",Flat_file!$D:$D,"25-29",Flat_file!$E:$E,"NE",Flat_file!$H:$H,"I",Flat_file!$G:$G,"Upper")</f>
        <v>0</v>
      </c>
      <c r="P29" s="207">
        <f t="shared" si="78"/>
        <v>0</v>
      </c>
      <c r="Q29" s="205"/>
      <c r="R29" s="186">
        <f t="shared" si="79"/>
        <v>0</v>
      </c>
      <c r="S29" s="208">
        <f t="shared" si="80"/>
        <v>0</v>
      </c>
      <c r="T29" s="186">
        <f t="shared" si="81"/>
        <v>0</v>
      </c>
      <c r="U29" s="205"/>
      <c r="V29" s="186">
        <f t="shared" si="82"/>
        <v>0</v>
      </c>
      <c r="W29" s="186">
        <f t="shared" si="83"/>
        <v>0</v>
      </c>
      <c r="X29" s="209">
        <f>SUMIFS(Flat_file!$I:$I,Flat_file!$B:$B,Result_summary!$C$1,Flat_file!$C:$C,"Men",Flat_file!$D:$D,"18-24",Flat_file!$E:$E,"NE",Flat_file!$H:$H,"E",Flat_file!$G:$G,"Upper")</f>
        <v>0</v>
      </c>
      <c r="Y29" s="205"/>
      <c r="Z29" s="186">
        <f>SUMIFS(Flat_file!$I:$I,Flat_file!$B:$B,Result_summary!$C$1,Flat_file!$C:$C,"Men",Flat_file!$D:$D,"18-24",Flat_file!$E:$E,"NE",Flat_file!$H:$H,"U",Flat_file!$G:$G,"Upper")</f>
        <v>0</v>
      </c>
      <c r="AA29" s="186">
        <f>SUMIFS(Flat_file!$I:$I,Flat_file!$B:$B,Result_summary!$C$1,Flat_file!$C:$C,"Men",Flat_file!$D:$D,"18-24",Flat_file!$E:$E,"NE",Flat_file!$H:$H,"I",Flat_file!$G:$G,"Upper")</f>
        <v>0</v>
      </c>
      <c r="AC29" s="187">
        <f>SUMIFS(Flat_file!$J:$J,Flat_file!$B:$B,Result_summary!$C$1,Flat_file!$C:$C,"Men",Flat_file!$D:$D,"15-19",Flat_file!$E:$E,"NE",Flat_file!$H:$H,"E",Flat_file!$G:$G,"Upper")</f>
        <v>0</v>
      </c>
      <c r="AD29" s="205"/>
      <c r="AE29" s="184">
        <f>SUMIFS(Flat_file!$J:$J,Flat_file!$B:$B,Result_summary!$C$1,Flat_file!$C:$C,"Men",Flat_file!$D:$D,"20-24",Flat_file!$E:$E,"NE",Flat_file!$H:$H,"E",Flat_file!$G:$G,"Upper")</f>
        <v>0</v>
      </c>
      <c r="AF29" s="205"/>
      <c r="AG29" s="184">
        <f>SUMIFS(Flat_file!$J:$J,Flat_file!$B:$B,Result_summary!$C$1,Flat_file!$C:$C,"Men",Flat_file!$D:$D,"25-29",Flat_file!$E:$E,"NE",Flat_file!$H:$H,"E",Flat_file!$G:$G,"Upper")</f>
        <v>0</v>
      </c>
      <c r="AH29" s="205"/>
      <c r="AI29" s="184">
        <f>SUMIFS(Flat_file!$J:$J,Flat_file!$B:$B,Result_summary!$C$1,Flat_file!$C:$C,"Men",Flat_file!$D:$D,"15-19",Flat_file!$E:$E,"NE",Flat_file!$H:$H,"U",Flat_file!$G:$G,"Upper")</f>
        <v>0</v>
      </c>
      <c r="AJ29" s="184">
        <f>SUMIFS(Flat_file!$J:$J,Flat_file!$B:$B,Result_summary!$C$1,Flat_file!$C:$C,"Men",Flat_file!$D:$D,"20-24",Flat_file!$E:$E,"NE",Flat_file!$H:$H,"U",Flat_file!$G:$G,"Upper")</f>
        <v>0</v>
      </c>
      <c r="AK29" s="184">
        <f>SUMIFS(Flat_file!$J:$J,Flat_file!$B:$B,Result_summary!$C$1,Flat_file!$C:$C,"Men",Flat_file!$D:$D,"25-29",Flat_file!$E:$E,"NE",Flat_file!$H:$H,"U",Flat_file!$G:$G,"Upper")</f>
        <v>0</v>
      </c>
      <c r="AL29" s="184">
        <f>SUMIFS(Flat_file!$J:$J,Flat_file!$B:$B,Result_summary!$C$1,Flat_file!$C:$C,"Men",Flat_file!$D:$D,"15-19",Flat_file!$E:$E,"NE",Flat_file!$H:$H,"I",Flat_file!$G:$G,"Upper")</f>
        <v>0</v>
      </c>
      <c r="AM29" s="184">
        <f>SUMIFS(Flat_file!$J:$J,Flat_file!$B:$B,Result_summary!$C$1,Flat_file!$C:$C,"Men",Flat_file!$D:$D,"20-24",Flat_file!$E:$E,"NE",Flat_file!$H:$H,"I",Flat_file!$G:$G,"Upper")</f>
        <v>0</v>
      </c>
      <c r="AN29" s="184">
        <f>SUMIFS(Flat_file!$J:$J,Flat_file!$B:$B,Result_summary!$C$1,Flat_file!$C:$C,"Men",Flat_file!$D:$D,"25-29",Flat_file!$E:$E,"NE",Flat_file!$H:$H,"I",Flat_file!$G:$G,"Upper")</f>
        <v>0</v>
      </c>
    </row>
    <row r="30" spans="1:47" ht="15.75" customHeight="1">
      <c r="A30" s="267"/>
      <c r="B30" s="270"/>
      <c r="C30" s="225" t="s">
        <v>227</v>
      </c>
      <c r="D30" s="184">
        <f>SUMIFS(Flat_file!$I:$I,Flat_file!$B:$B,Result_summary!$C$1,Flat_file!$C:$C,"Men",Flat_file!$D:$D,"15-19",Flat_file!$E:$E,"NE",Flat_file!$H:$H,"E",Flat_file!$G:$G,"Upper - general")</f>
        <v>0</v>
      </c>
      <c r="E30" s="205"/>
      <c r="F30" s="184">
        <f>SUMIFS(Flat_file!$I:$I,Flat_file!$B:$B,Result_summary!$C$1,Flat_file!$C:$C,"Men",Flat_file!$D:$D,"20-24",Flat_file!$E:$E,"NE",Flat_file!$H:$H,"E",Flat_file!$G:$G,"Upper - general")</f>
        <v>0</v>
      </c>
      <c r="G30" s="205"/>
      <c r="H30" s="184">
        <f>SUMIFS(Flat_file!$I:$I,Flat_file!$B:$B,Result_summary!$C$1,Flat_file!$C:$C,"Men",Flat_file!$D:$D,"25-29",Flat_file!$E:$E,"NE",Flat_file!$H:$H,"E",Flat_file!$G:$G,"Upper - general")</f>
        <v>0</v>
      </c>
      <c r="I30" s="205"/>
      <c r="J30" s="184">
        <f>SUMIFS(Flat_file!$I:$I,Flat_file!$B:$B,Result_summary!$C$1,Flat_file!$C:$C,"Men",Flat_file!$D:$D,"15-19",Flat_file!$E:$E,"NE",Flat_file!$H:$H,"U",Flat_file!$G:$G,"Upper - general")</f>
        <v>0</v>
      </c>
      <c r="K30" s="184">
        <f>SUMIFS(Flat_file!$I:$I,Flat_file!$B:$B,Result_summary!$C$1,Flat_file!$C:$C,"Men",Flat_file!$D:$D,"20-24",Flat_file!$E:$E,"NE",Flat_file!$H:$H,"U",Flat_file!$G:$G,"Upper - general")</f>
        <v>0</v>
      </c>
      <c r="L30" s="184">
        <f>SUMIFS(Flat_file!$I:$I,Flat_file!$B:$B,Result_summary!$C$1,Flat_file!$C:$C,"Men",Flat_file!$D:$D,"25-29",Flat_file!$E:$E,"NE",Flat_file!$H:$H,"U",Flat_file!$G:$G,"Upper - general")</f>
        <v>0</v>
      </c>
      <c r="M30" s="184">
        <f>SUMIFS(Flat_file!$I:$I,Flat_file!$B:$B,Result_summary!$C$1,Flat_file!$C:$C,"Men",Flat_file!$D:$D,"15-19",Flat_file!$E:$E,"NE",Flat_file!$H:$H,"I",Flat_file!$G:$G,"Upper - general")</f>
        <v>0</v>
      </c>
      <c r="N30" s="184">
        <f>SUMIFS(Flat_file!$I:$I,Flat_file!$B:$B,Result_summary!$C$1,Flat_file!$C:$C,"Men",Flat_file!$D:$D,"20-24",Flat_file!$E:$E,"NE",Flat_file!$H:$H,"I",Flat_file!$G:$G,"Upper - general")</f>
        <v>0</v>
      </c>
      <c r="O30" s="206">
        <f>SUMIFS(Flat_file!$I:$I,Flat_file!$B:$B,Result_summary!$C$1,Flat_file!$C:$C,"Men",Flat_file!$D:$D,"25-29",Flat_file!$E:$E,"NE",Flat_file!$H:$H,"I",Flat_file!$G:$G,"Upper - general")</f>
        <v>0</v>
      </c>
      <c r="P30" s="207">
        <f t="shared" ref="P30:P31" si="84">D30+F30</f>
        <v>0</v>
      </c>
      <c r="Q30" s="205"/>
      <c r="R30" s="186">
        <f t="shared" ref="R30:R31" si="85">J30+K30</f>
        <v>0</v>
      </c>
      <c r="S30" s="208">
        <f t="shared" ref="S30:S31" si="86">M30+N30</f>
        <v>0</v>
      </c>
      <c r="T30" s="186">
        <f t="shared" ref="T30:T31" si="87">D30+F30+H30</f>
        <v>0</v>
      </c>
      <c r="U30" s="205"/>
      <c r="V30" s="186">
        <f t="shared" ref="V30:V31" si="88">J30+K30+L30</f>
        <v>0</v>
      </c>
      <c r="W30" s="186">
        <f t="shared" ref="W30:W31" si="89">M30+N30+O30</f>
        <v>0</v>
      </c>
      <c r="X30" s="209">
        <f>SUMIFS(Flat_file!$I:$I,Flat_file!$B:$B,Result_summary!$C$1,Flat_file!$C:$C,"Men",Flat_file!$D:$D,"18-24",Flat_file!$E:$E,"NE",Flat_file!$H:$H,"E",Flat_file!$G:$G,"Upper - general")</f>
        <v>0</v>
      </c>
      <c r="Y30" s="205"/>
      <c r="Z30" s="186">
        <f>SUMIFS(Flat_file!$I:$I,Flat_file!$B:$B,Result_summary!$C$1,Flat_file!$C:$C,"Men",Flat_file!$D:$D,"18-24",Flat_file!$E:$E,"NE",Flat_file!$H:$H,"U",Flat_file!$G:$G,"Upper - general")</f>
        <v>0</v>
      </c>
      <c r="AA30" s="186">
        <f>SUMIFS(Flat_file!$I:$I,Flat_file!$B:$B,Result_summary!$C$1,Flat_file!$C:$C,"Men",Flat_file!$D:$D,"18-24",Flat_file!$E:$E,"NE",Flat_file!$H:$H,"I",Flat_file!$G:$G,"Upper - general")</f>
        <v>0</v>
      </c>
      <c r="AC30" s="187">
        <f>SUMIFS(Flat_file!$J:$J,Flat_file!$B:$B,Result_summary!$C$1,Flat_file!$C:$C,"Men",Flat_file!$D:$D,"15-19",Flat_file!$E:$E,"NE",Flat_file!$H:$H,"E",Flat_file!$G:$G,"Upper - general")</f>
        <v>0</v>
      </c>
      <c r="AD30" s="205"/>
      <c r="AE30" s="184">
        <f>SUMIFS(Flat_file!$J:$J,Flat_file!$B:$B,Result_summary!$C$1,Flat_file!$C:$C,"Men",Flat_file!$D:$D,"20-24",Flat_file!$E:$E,"NE",Flat_file!$H:$H,"E",Flat_file!$G:$G,"Upper - general")</f>
        <v>0</v>
      </c>
      <c r="AF30" s="205"/>
      <c r="AG30" s="184">
        <f>SUMIFS(Flat_file!$J:$J,Flat_file!$B:$B,Result_summary!$C$1,Flat_file!$C:$C,"Men",Flat_file!$D:$D,"25-29",Flat_file!$E:$E,"NE",Flat_file!$H:$H,"E",Flat_file!$G:$G,"Upper - general")</f>
        <v>0</v>
      </c>
      <c r="AH30" s="205"/>
      <c r="AI30" s="184">
        <f>SUMIFS(Flat_file!$J:$J,Flat_file!$B:$B,Result_summary!$C$1,Flat_file!$C:$C,"Men",Flat_file!$D:$D,"15-19",Flat_file!$E:$E,"NE",Flat_file!$H:$H,"U",Flat_file!$G:$G,"Upper - general")</f>
        <v>0</v>
      </c>
      <c r="AJ30" s="184">
        <f>SUMIFS(Flat_file!$J:$J,Flat_file!$B:$B,Result_summary!$C$1,Flat_file!$C:$C,"Men",Flat_file!$D:$D,"20-24",Flat_file!$E:$E,"NE",Flat_file!$H:$H,"U",Flat_file!$G:$G,"Upper - general")</f>
        <v>0</v>
      </c>
      <c r="AK30" s="184">
        <f>SUMIFS(Flat_file!$J:$J,Flat_file!$B:$B,Result_summary!$C$1,Flat_file!$C:$C,"Men",Flat_file!$D:$D,"25-29",Flat_file!$E:$E,"NE",Flat_file!$H:$H,"U",Flat_file!$G:$G,"Upper - general")</f>
        <v>0</v>
      </c>
      <c r="AL30" s="184">
        <f>SUMIFS(Flat_file!$J:$J,Flat_file!$B:$B,Result_summary!$C$1,Flat_file!$C:$C,"Men",Flat_file!$D:$D,"15-19",Flat_file!$E:$E,"NE",Flat_file!$H:$H,"I",Flat_file!$G:$G,"Upper - general")</f>
        <v>0</v>
      </c>
      <c r="AM30" s="184">
        <f>SUMIFS(Flat_file!$J:$J,Flat_file!$B:$B,Result_summary!$C$1,Flat_file!$C:$C,"Men",Flat_file!$D:$D,"20-24",Flat_file!$E:$E,"NE",Flat_file!$H:$H,"I",Flat_file!$G:$G,"Upper - general")</f>
        <v>0</v>
      </c>
      <c r="AN30" s="184">
        <f>SUMIFS(Flat_file!$J:$J,Flat_file!$B:$B,Result_summary!$C$1,Flat_file!$C:$C,"Men",Flat_file!$D:$D,"25-29",Flat_file!$E:$E,"NE",Flat_file!$H:$H,"I",Flat_file!$G:$G,"Upper - general")</f>
        <v>0</v>
      </c>
    </row>
    <row r="31" spans="1:47" ht="15.75" customHeight="1">
      <c r="A31" s="267"/>
      <c r="B31" s="270"/>
      <c r="C31" s="225" t="s">
        <v>228</v>
      </c>
      <c r="D31" s="184">
        <f>SUMIFS(Flat_file!$I:$I,Flat_file!$B:$B,Result_summary!$C$1,Flat_file!$C:$C,"Men",Flat_file!$D:$D,"15-19",Flat_file!$E:$E,"NE",Flat_file!$H:$H,"E",Flat_file!$G:$G,"Upper - vocational")</f>
        <v>0</v>
      </c>
      <c r="E31" s="205"/>
      <c r="F31" s="184">
        <f>SUMIFS(Flat_file!$I:$I,Flat_file!$B:$B,Result_summary!$C$1,Flat_file!$C:$C,"Men",Flat_file!$D:$D,"20-24",Flat_file!$E:$E,"NE",Flat_file!$H:$H,"E",Flat_file!$G:$G,"Upper - vocational")</f>
        <v>0</v>
      </c>
      <c r="G31" s="205"/>
      <c r="H31" s="184">
        <f>SUMIFS(Flat_file!$I:$I,Flat_file!$B:$B,Result_summary!$C$1,Flat_file!$C:$C,"Men",Flat_file!$D:$D,"25-29",Flat_file!$E:$E,"NE",Flat_file!$H:$H,"E",Flat_file!$G:$G,"Upper - vocational")</f>
        <v>0</v>
      </c>
      <c r="I31" s="205"/>
      <c r="J31" s="184">
        <f>SUMIFS(Flat_file!$I:$I,Flat_file!$B:$B,Result_summary!$C$1,Flat_file!$C:$C,"Men",Flat_file!$D:$D,"15-19",Flat_file!$E:$E,"NE",Flat_file!$H:$H,"U",Flat_file!$G:$G,"Upper - vocational")</f>
        <v>0</v>
      </c>
      <c r="K31" s="184">
        <f>SUMIFS(Flat_file!$I:$I,Flat_file!$B:$B,Result_summary!$C$1,Flat_file!$C:$C,"Men",Flat_file!$D:$D,"20-24",Flat_file!$E:$E,"NE",Flat_file!$H:$H,"U",Flat_file!$G:$G,"Upper - vocational")</f>
        <v>0</v>
      </c>
      <c r="L31" s="184">
        <f>SUMIFS(Flat_file!$I:$I,Flat_file!$B:$B,Result_summary!$C$1,Flat_file!$C:$C,"Men",Flat_file!$D:$D,"25-29",Flat_file!$E:$E,"NE",Flat_file!$H:$H,"U",Flat_file!$G:$G,"Upper - vocational")</f>
        <v>0</v>
      </c>
      <c r="M31" s="184">
        <f>SUMIFS(Flat_file!$I:$I,Flat_file!$B:$B,Result_summary!$C$1,Flat_file!$C:$C,"Men",Flat_file!$D:$D,"15-19",Flat_file!$E:$E,"NE",Flat_file!$H:$H,"I",Flat_file!$G:$G,"Upper - vocational")</f>
        <v>0</v>
      </c>
      <c r="N31" s="184">
        <f>SUMIFS(Flat_file!$I:$I,Flat_file!$B:$B,Result_summary!$C$1,Flat_file!$C:$C,"Men",Flat_file!$D:$D,"20-24",Flat_file!$E:$E,"NE",Flat_file!$H:$H,"I",Flat_file!$G:$G,"Upper - vocational")</f>
        <v>0</v>
      </c>
      <c r="O31" s="206">
        <f>SUMIFS(Flat_file!$I:$I,Flat_file!$B:$B,Result_summary!$C$1,Flat_file!$C:$C,"Men",Flat_file!$D:$D,"25-29",Flat_file!$E:$E,"NE",Flat_file!$H:$H,"I",Flat_file!$G:$G,"Upper - vocational")</f>
        <v>0</v>
      </c>
      <c r="P31" s="207">
        <f t="shared" si="84"/>
        <v>0</v>
      </c>
      <c r="Q31" s="205"/>
      <c r="R31" s="186">
        <f t="shared" si="85"/>
        <v>0</v>
      </c>
      <c r="S31" s="208">
        <f t="shared" si="86"/>
        <v>0</v>
      </c>
      <c r="T31" s="186">
        <f t="shared" si="87"/>
        <v>0</v>
      </c>
      <c r="U31" s="205"/>
      <c r="V31" s="186">
        <f t="shared" si="88"/>
        <v>0</v>
      </c>
      <c r="W31" s="186">
        <f t="shared" si="89"/>
        <v>0</v>
      </c>
      <c r="X31" s="209">
        <f>SUMIFS(Flat_file!$I:$I,Flat_file!$B:$B,Result_summary!$C$1,Flat_file!$C:$C,"Men",Flat_file!$D:$D,"18-24",Flat_file!$E:$E,"NE",Flat_file!$H:$H,"E",Flat_file!$G:$G,"Upper - vocational")</f>
        <v>0</v>
      </c>
      <c r="Y31" s="205"/>
      <c r="Z31" s="186">
        <f>SUMIFS(Flat_file!$I:$I,Flat_file!$B:$B,Result_summary!$C$1,Flat_file!$C:$C,"Men",Flat_file!$D:$D,"18-24",Flat_file!$E:$E,"NE",Flat_file!$H:$H,"U",Flat_file!$G:$G,"Upper - vocational")</f>
        <v>0</v>
      </c>
      <c r="AA31" s="186">
        <f>SUMIFS(Flat_file!$I:$I,Flat_file!$B:$B,Result_summary!$C$1,Flat_file!$C:$C,"Men",Flat_file!$D:$D,"18-24",Flat_file!$E:$E,"NE",Flat_file!$H:$H,"I",Flat_file!$G:$G,"Upper - vocational")</f>
        <v>0</v>
      </c>
      <c r="AC31" s="187">
        <f>SUMIFS(Flat_file!$J:$J,Flat_file!$B:$B,Result_summary!$C$1,Flat_file!$C:$C,"Men",Flat_file!$D:$D,"15-19",Flat_file!$E:$E,"NE",Flat_file!$H:$H,"E",Flat_file!$G:$G,"Upper - vocational")</f>
        <v>0</v>
      </c>
      <c r="AD31" s="205"/>
      <c r="AE31" s="184">
        <f>SUMIFS(Flat_file!$J:$J,Flat_file!$B:$B,Result_summary!$C$1,Flat_file!$C:$C,"Men",Flat_file!$D:$D,"20-24",Flat_file!$E:$E,"NE",Flat_file!$H:$H,"E",Flat_file!$G:$G,"Upper - vocational")</f>
        <v>0</v>
      </c>
      <c r="AF31" s="205"/>
      <c r="AG31" s="184">
        <f>SUMIFS(Flat_file!$J:$J,Flat_file!$B:$B,Result_summary!$C$1,Flat_file!$C:$C,"Men",Flat_file!$D:$D,"25-29",Flat_file!$E:$E,"NE",Flat_file!$H:$H,"E",Flat_file!$G:$G,"Upper - vocational")</f>
        <v>0</v>
      </c>
      <c r="AH31" s="205"/>
      <c r="AI31" s="184">
        <f>SUMIFS(Flat_file!$J:$J,Flat_file!$B:$B,Result_summary!$C$1,Flat_file!$C:$C,"Men",Flat_file!$D:$D,"15-19",Flat_file!$E:$E,"NE",Flat_file!$H:$H,"U",Flat_file!$G:$G,"Upper - vocational")</f>
        <v>0</v>
      </c>
      <c r="AJ31" s="184">
        <f>SUMIFS(Flat_file!$J:$J,Flat_file!$B:$B,Result_summary!$C$1,Flat_file!$C:$C,"Men",Flat_file!$D:$D,"20-24",Flat_file!$E:$E,"NE",Flat_file!$H:$H,"U",Flat_file!$G:$G,"Upper - vocational")</f>
        <v>0</v>
      </c>
      <c r="AK31" s="184">
        <f>SUMIFS(Flat_file!$J:$J,Flat_file!$B:$B,Result_summary!$C$1,Flat_file!$C:$C,"Men",Flat_file!$D:$D,"25-29",Flat_file!$E:$E,"NE",Flat_file!$H:$H,"U",Flat_file!$G:$G,"Upper - vocational")</f>
        <v>0</v>
      </c>
      <c r="AL31" s="184">
        <f>SUMIFS(Flat_file!$J:$J,Flat_file!$B:$B,Result_summary!$C$1,Flat_file!$C:$C,"Men",Flat_file!$D:$D,"15-19",Flat_file!$E:$E,"NE",Flat_file!$H:$H,"I",Flat_file!$G:$G,"Upper - vocational")</f>
        <v>0</v>
      </c>
      <c r="AM31" s="184">
        <f>SUMIFS(Flat_file!$J:$J,Flat_file!$B:$B,Result_summary!$C$1,Flat_file!$C:$C,"Men",Flat_file!$D:$D,"20-24",Flat_file!$E:$E,"NE",Flat_file!$H:$H,"I",Flat_file!$G:$G,"Upper - vocational")</f>
        <v>0</v>
      </c>
      <c r="AN31" s="184">
        <f>SUMIFS(Flat_file!$J:$J,Flat_file!$B:$B,Result_summary!$C$1,Flat_file!$C:$C,"Men",Flat_file!$D:$D,"25-29",Flat_file!$E:$E,"NE",Flat_file!$H:$H,"I",Flat_file!$G:$G,"Upper - vocational")</f>
        <v>0</v>
      </c>
    </row>
    <row r="32" spans="1:47" ht="15.75" customHeight="1">
      <c r="A32" s="267"/>
      <c r="B32" s="270"/>
      <c r="C32" s="204" t="s">
        <v>9</v>
      </c>
      <c r="D32" s="184">
        <f>SUMIFS(Flat_file!$I:$I,Flat_file!$B:$B,Result_summary!$C$1,Flat_file!$C:$C,"Men",Flat_file!$D:$D,"15-19",Flat_file!$E:$E,"NE",Flat_file!$H:$H,"E",Flat_file!$G:$G,"Tertiary")</f>
        <v>0</v>
      </c>
      <c r="E32" s="205"/>
      <c r="F32" s="184">
        <f>SUMIFS(Flat_file!$I:$I,Flat_file!$B:$B,Result_summary!$C$1,Flat_file!$C:$C,"Men",Flat_file!$D:$D,"20-24",Flat_file!$E:$E,"NE",Flat_file!$H:$H,"E",Flat_file!$G:$G,"Tertiary")</f>
        <v>0</v>
      </c>
      <c r="G32" s="205"/>
      <c r="H32" s="184">
        <f>SUMIFS(Flat_file!$I:$I,Flat_file!$B:$B,Result_summary!$C$1,Flat_file!$C:$C,"Men",Flat_file!$D:$D,"25-29",Flat_file!$E:$E,"NE",Flat_file!$H:$H,"E",Flat_file!$G:$G,"Tertiary")</f>
        <v>0</v>
      </c>
      <c r="I32" s="205"/>
      <c r="J32" s="184">
        <f>SUMIFS(Flat_file!$I:$I,Flat_file!$B:$B,Result_summary!$C$1,Flat_file!$C:$C,"Men",Flat_file!$D:$D,"15-19",Flat_file!$E:$E,"NE",Flat_file!$H:$H,"U",Flat_file!$G:$G,"Tertiary")</f>
        <v>0</v>
      </c>
      <c r="K32" s="184">
        <f>SUMIFS(Flat_file!$I:$I,Flat_file!$B:$B,Result_summary!$C$1,Flat_file!$C:$C,"Men",Flat_file!$D:$D,"20-24",Flat_file!$E:$E,"NE",Flat_file!$H:$H,"U",Flat_file!$G:$G,"Tertiary")</f>
        <v>0</v>
      </c>
      <c r="L32" s="184">
        <f>SUMIFS(Flat_file!$I:$I,Flat_file!$B:$B,Result_summary!$C$1,Flat_file!$C:$C,"Men",Flat_file!$D:$D,"25-29",Flat_file!$E:$E,"NE",Flat_file!$H:$H,"U",Flat_file!$G:$G,"Tertiary")</f>
        <v>0</v>
      </c>
      <c r="M32" s="184">
        <f>SUMIFS(Flat_file!$I:$I,Flat_file!$B:$B,Result_summary!$C$1,Flat_file!$C:$C,"Men",Flat_file!$D:$D,"15-19",Flat_file!$E:$E,"NE",Flat_file!$H:$H,"I",Flat_file!$G:$G,"Tertiary")</f>
        <v>0</v>
      </c>
      <c r="N32" s="184">
        <f>SUMIFS(Flat_file!$I:$I,Flat_file!$B:$B,Result_summary!$C$1,Flat_file!$C:$C,"Men",Flat_file!$D:$D,"20-24",Flat_file!$E:$E,"NE",Flat_file!$H:$H,"I",Flat_file!$G:$G,"Tertiary")</f>
        <v>0</v>
      </c>
      <c r="O32" s="206">
        <f>SUMIFS(Flat_file!$I:$I,Flat_file!$B:$B,Result_summary!$C$1,Flat_file!$C:$C,"Men",Flat_file!$D:$D,"25-29",Flat_file!$E:$E,"NE",Flat_file!$H:$H,"I",Flat_file!$G:$G,"Tertiary")</f>
        <v>0</v>
      </c>
      <c r="P32" s="207">
        <f t="shared" si="78"/>
        <v>0</v>
      </c>
      <c r="Q32" s="205"/>
      <c r="R32" s="186">
        <f t="shared" si="79"/>
        <v>0</v>
      </c>
      <c r="S32" s="208">
        <f t="shared" si="80"/>
        <v>0</v>
      </c>
      <c r="T32" s="186">
        <f t="shared" si="81"/>
        <v>0</v>
      </c>
      <c r="U32" s="205"/>
      <c r="V32" s="186">
        <f t="shared" si="82"/>
        <v>0</v>
      </c>
      <c r="W32" s="186">
        <f t="shared" si="83"/>
        <v>0</v>
      </c>
      <c r="X32" s="209">
        <f>SUMIFS(Flat_file!$I:$I,Flat_file!$B:$B,Result_summary!$C$1,Flat_file!$C:$C,"Men",Flat_file!$D:$D,"18-24",Flat_file!$E:$E,"NE",Flat_file!$H:$H,"E",Flat_file!$G:$G,"Tertiary")</f>
        <v>0</v>
      </c>
      <c r="Y32" s="205"/>
      <c r="Z32" s="186">
        <f>SUMIFS(Flat_file!$I:$I,Flat_file!$B:$B,Result_summary!$C$1,Flat_file!$C:$C,"Men",Flat_file!$D:$D,"18-24",Flat_file!$E:$E,"NE",Flat_file!$H:$H,"U",Flat_file!$G:$G,"Tertiary")</f>
        <v>0</v>
      </c>
      <c r="AA32" s="186">
        <f>SUMIFS(Flat_file!$I:$I,Flat_file!$B:$B,Result_summary!$C$1,Flat_file!$C:$C,"Men",Flat_file!$D:$D,"18-24",Flat_file!$E:$E,"NE",Flat_file!$H:$H,"I",Flat_file!$G:$G,"Tertiary")</f>
        <v>0</v>
      </c>
      <c r="AC32" s="187">
        <f>SUMIFS(Flat_file!$J:$J,Flat_file!$B:$B,Result_summary!$C$1,Flat_file!$C:$C,"Men",Flat_file!$D:$D,"15-19",Flat_file!$E:$E,"NE",Flat_file!$H:$H,"E",Flat_file!$G:$G,"Tertiary")</f>
        <v>0</v>
      </c>
      <c r="AD32" s="205"/>
      <c r="AE32" s="184">
        <f>SUMIFS(Flat_file!$J:$J,Flat_file!$B:$B,Result_summary!$C$1,Flat_file!$C:$C,"Men",Flat_file!$D:$D,"20-24",Flat_file!$E:$E,"NE",Flat_file!$H:$H,"E",Flat_file!$G:$G,"Tertiary")</f>
        <v>0</v>
      </c>
      <c r="AF32" s="205"/>
      <c r="AG32" s="184">
        <f>SUMIFS(Flat_file!$J:$J,Flat_file!$B:$B,Result_summary!$C$1,Flat_file!$C:$C,"Men",Flat_file!$D:$D,"25-29",Flat_file!$E:$E,"NE",Flat_file!$H:$H,"E",Flat_file!$G:$G,"Tertiary")</f>
        <v>0</v>
      </c>
      <c r="AH32" s="205"/>
      <c r="AI32" s="184">
        <f>SUMIFS(Flat_file!$J:$J,Flat_file!$B:$B,Result_summary!$C$1,Flat_file!$C:$C,"Men",Flat_file!$D:$D,"15-19",Flat_file!$E:$E,"NE",Flat_file!$H:$H,"U",Flat_file!$G:$G,"Tertiary")</f>
        <v>0</v>
      </c>
      <c r="AJ32" s="184">
        <f>SUMIFS(Flat_file!$J:$J,Flat_file!$B:$B,Result_summary!$C$1,Flat_file!$C:$C,"Men",Flat_file!$D:$D,"20-24",Flat_file!$E:$E,"NE",Flat_file!$H:$H,"U",Flat_file!$G:$G,"Tertiary")</f>
        <v>0</v>
      </c>
      <c r="AK32" s="184">
        <f>SUMIFS(Flat_file!$J:$J,Flat_file!$B:$B,Result_summary!$C$1,Flat_file!$C:$C,"Men",Flat_file!$D:$D,"25-29",Flat_file!$E:$E,"NE",Flat_file!$H:$H,"U",Flat_file!$G:$G,"Tertiary")</f>
        <v>0</v>
      </c>
      <c r="AL32" s="184">
        <f>SUMIFS(Flat_file!$J:$J,Flat_file!$B:$B,Result_summary!$C$1,Flat_file!$C:$C,"Men",Flat_file!$D:$D,"15-19",Flat_file!$E:$E,"NE",Flat_file!$H:$H,"I",Flat_file!$G:$G,"Tertiary")</f>
        <v>0</v>
      </c>
      <c r="AM32" s="184">
        <f>SUMIFS(Flat_file!$J:$J,Flat_file!$B:$B,Result_summary!$C$1,Flat_file!$C:$C,"Men",Flat_file!$D:$D,"20-24",Flat_file!$E:$E,"NE",Flat_file!$H:$H,"I",Flat_file!$G:$G,"Tertiary")</f>
        <v>0</v>
      </c>
      <c r="AN32" s="184">
        <f>SUMIFS(Flat_file!$J:$J,Flat_file!$B:$B,Result_summary!$C$1,Flat_file!$C:$C,"Men",Flat_file!$D:$D,"25-29",Flat_file!$E:$E,"NE",Flat_file!$H:$H,"I",Flat_file!$G:$G,"Tertiary")</f>
        <v>0</v>
      </c>
    </row>
    <row r="33" spans="1:40" ht="15.75" customHeight="1" thickBot="1">
      <c r="A33" s="268"/>
      <c r="B33" s="270"/>
      <c r="C33" s="210" t="s">
        <v>53</v>
      </c>
      <c r="D33" s="211">
        <f>SUM(D28,D29,D32)</f>
        <v>0</v>
      </c>
      <c r="E33" s="212"/>
      <c r="F33" s="211">
        <f>SUM(F28,F29,F32)</f>
        <v>0</v>
      </c>
      <c r="G33" s="212"/>
      <c r="H33" s="211">
        <f>SUM(H28,H29,H32)</f>
        <v>0</v>
      </c>
      <c r="I33" s="212"/>
      <c r="J33" s="211">
        <f>SUM(J28,J29,J32)</f>
        <v>0</v>
      </c>
      <c r="K33" s="211">
        <f t="shared" ref="K33:O33" si="90">SUM(K28,K29,K32)</f>
        <v>0</v>
      </c>
      <c r="L33" s="211">
        <f t="shared" si="90"/>
        <v>0</v>
      </c>
      <c r="M33" s="211">
        <f t="shared" si="90"/>
        <v>0</v>
      </c>
      <c r="N33" s="211">
        <f t="shared" si="90"/>
        <v>0</v>
      </c>
      <c r="O33" s="213">
        <f t="shared" si="90"/>
        <v>0</v>
      </c>
      <c r="P33" s="214">
        <f t="shared" si="78"/>
        <v>0</v>
      </c>
      <c r="Q33" s="212"/>
      <c r="R33" s="193">
        <f>J33+K33</f>
        <v>0</v>
      </c>
      <c r="S33" s="215">
        <f t="shared" si="80"/>
        <v>0</v>
      </c>
      <c r="T33" s="193">
        <f t="shared" si="81"/>
        <v>0</v>
      </c>
      <c r="U33" s="212"/>
      <c r="V33" s="193">
        <f t="shared" si="82"/>
        <v>0</v>
      </c>
      <c r="W33" s="193">
        <f t="shared" si="83"/>
        <v>0</v>
      </c>
      <c r="X33" s="216">
        <f>SUM(X28,X29,X32)</f>
        <v>0</v>
      </c>
      <c r="Y33" s="212"/>
      <c r="Z33" s="193">
        <f>SUM(Z28,Z29,Z32)</f>
        <v>0</v>
      </c>
      <c r="AA33" s="216">
        <f>SUM(AA28,AA29,AA32)</f>
        <v>0</v>
      </c>
      <c r="AC33" s="217">
        <f>SUM(AC28,AC29,AC32)</f>
        <v>0</v>
      </c>
      <c r="AD33" s="212"/>
      <c r="AE33" s="217">
        <f>SUM(AE28,AE29,AE32)</f>
        <v>0</v>
      </c>
      <c r="AF33" s="212"/>
      <c r="AG33" s="217">
        <f>SUM(AG28,AG29,AG32)</f>
        <v>0</v>
      </c>
      <c r="AH33" s="212"/>
      <c r="AI33" s="217">
        <f>SUM(AI28,AI29,AI32)</f>
        <v>0</v>
      </c>
      <c r="AJ33" s="211">
        <f t="shared" ref="AJ33:AN33" si="91">SUM(AJ28,AJ29,AJ32)</f>
        <v>0</v>
      </c>
      <c r="AK33" s="211">
        <f t="shared" si="91"/>
        <v>0</v>
      </c>
      <c r="AL33" s="211">
        <f t="shared" si="91"/>
        <v>0</v>
      </c>
      <c r="AM33" s="211">
        <f t="shared" si="91"/>
        <v>0</v>
      </c>
      <c r="AN33" s="211">
        <f t="shared" si="91"/>
        <v>0</v>
      </c>
    </row>
    <row r="34" spans="1:40" ht="15.75" customHeight="1">
      <c r="A34" s="266" t="s">
        <v>39</v>
      </c>
      <c r="B34" s="270"/>
      <c r="C34" s="198" t="s">
        <v>11</v>
      </c>
      <c r="D34" s="178">
        <f>SUMIFS(Flat_file!$I:$I,Flat_file!$B:$B,Result_summary!$C$1,Flat_file!$C:$C,"Women",Flat_file!$D:$D,"15-19",Flat_file!$E:$E,"NE",Flat_file!$H:$H,"E",Flat_file!$G:$G,"Below")</f>
        <v>0</v>
      </c>
      <c r="E34" s="199"/>
      <c r="F34" s="178">
        <f>SUMIFS(Flat_file!$I:$I,Flat_file!$B:$B,Result_summary!$C$1,Flat_file!$C:$C,"Women",Flat_file!$D:$D,"20-24",Flat_file!$E:$E,"NE",Flat_file!$H:$H,"E",Flat_file!$G:$G,"Below")</f>
        <v>0</v>
      </c>
      <c r="G34" s="199"/>
      <c r="H34" s="178">
        <f>SUMIFS(Flat_file!$I:$I,Flat_file!$B:$B,Result_summary!$C$1,Flat_file!$C:$C,"Women",Flat_file!$D:$D,"25-29",Flat_file!$E:$E,"NE",Flat_file!$H:$H,"E",Flat_file!$G:$G,"Below")</f>
        <v>0</v>
      </c>
      <c r="I34" s="199"/>
      <c r="J34" s="178">
        <f>SUMIFS(Flat_file!$I:$I,Flat_file!$B:$B,Result_summary!$C$1,Flat_file!$C:$C,"Women",Flat_file!$D:$D,"15-19",Flat_file!$E:$E,"NE",Flat_file!$H:$H,"U",Flat_file!$G:$G,"Below")</f>
        <v>0</v>
      </c>
      <c r="K34" s="178">
        <f>SUMIFS(Flat_file!$I:$I,Flat_file!$B:$B,Result_summary!$C$1,Flat_file!$C:$C,"Women",Flat_file!$D:$D,"20-24",Flat_file!$E:$E,"NE",Flat_file!$H:$H,"U",Flat_file!$G:$G,"Below")</f>
        <v>0</v>
      </c>
      <c r="L34" s="178">
        <f>SUMIFS(Flat_file!$I:$I,Flat_file!$B:$B,Result_summary!$C$1,Flat_file!$C:$C,"Women",Flat_file!$D:$D,"25-29",Flat_file!$E:$E,"NE",Flat_file!$H:$H,"U",Flat_file!$G:$G,"Below")</f>
        <v>0</v>
      </c>
      <c r="M34" s="178">
        <f>SUMIFS(Flat_file!$I:$I,Flat_file!$B:$B,Result_summary!$C$1,Flat_file!$C:$C,"Women",Flat_file!$D:$D,"15-19",Flat_file!$E:$E,"NE",Flat_file!$H:$H,"I",Flat_file!$G:$G,"Below")</f>
        <v>0</v>
      </c>
      <c r="N34" s="178">
        <f>SUMIFS(Flat_file!$I:$I,Flat_file!$B:$B,Result_summary!$C$1,Flat_file!$C:$C,"Women",Flat_file!$D:$D,"20-24",Flat_file!$E:$E,"NE",Flat_file!$H:$H,"I",Flat_file!$G:$G,"Below")</f>
        <v>0</v>
      </c>
      <c r="O34" s="200">
        <f>SUMIFS(Flat_file!$I:$I,Flat_file!$B:$B,Result_summary!$C$1,Flat_file!$C:$C,"Women",Flat_file!$D:$D,"25-29",Flat_file!$E:$E,"NE",Flat_file!$H:$H,"I",Flat_file!$G:$G,"Below")</f>
        <v>0</v>
      </c>
      <c r="P34" s="201">
        <f t="shared" si="78"/>
        <v>0</v>
      </c>
      <c r="Q34" s="199"/>
      <c r="R34" s="180">
        <f t="shared" si="79"/>
        <v>0</v>
      </c>
      <c r="S34" s="202">
        <f t="shared" si="80"/>
        <v>0</v>
      </c>
      <c r="T34" s="180">
        <f t="shared" si="81"/>
        <v>0</v>
      </c>
      <c r="U34" s="199"/>
      <c r="V34" s="180">
        <f t="shared" si="82"/>
        <v>0</v>
      </c>
      <c r="W34" s="180">
        <f t="shared" si="83"/>
        <v>0</v>
      </c>
      <c r="X34" s="203">
        <f>SUMIFS(Flat_file!$I:$I,Flat_file!$B:$B,Result_summary!$C$1,Flat_file!$C:$C,"Women",Flat_file!$D:$D,"18-24",Flat_file!$E:$E,"NE",Flat_file!$H:$H,"E",Flat_file!$G:$G,"Below")</f>
        <v>0</v>
      </c>
      <c r="Y34" s="199"/>
      <c r="Z34" s="180">
        <f>SUMIFS(Flat_file!$I:$I,Flat_file!$B:$B,Result_summary!$C$1,Flat_file!$C:$C,"Women",Flat_file!$D:$D,"18-24",Flat_file!$E:$E,"NE",Flat_file!$H:$H,"U",Flat_file!$G:$G,"Below")</f>
        <v>0</v>
      </c>
      <c r="AA34" s="180">
        <f>SUMIFS(Flat_file!$I:$I,Flat_file!$B:$B,Result_summary!$C$1,Flat_file!$C:$C,"Women",Flat_file!$D:$D,"18-24",Flat_file!$E:$E,"NE",Flat_file!$H:$H,"I",Flat_file!$G:$G,"Below")</f>
        <v>0</v>
      </c>
      <c r="AC34" s="181">
        <f>SUMIFS(Flat_file!$J:$J,Flat_file!$B:$B,Result_summary!$C$1,Flat_file!$C:$C,"Women",Flat_file!$D:$D,"15-19",Flat_file!$E:$E,"NE",Flat_file!$H:$H,"E",Flat_file!$G:$G,"Below")</f>
        <v>0</v>
      </c>
      <c r="AD34" s="199"/>
      <c r="AE34" s="178">
        <f>SUMIFS(Flat_file!$J:$J,Flat_file!$B:$B,Result_summary!$C$1,Flat_file!$C:$C,"Women",Flat_file!$D:$D,"20-24",Flat_file!$E:$E,"NE",Flat_file!$H:$H,"E",Flat_file!$G:$G,"Below")</f>
        <v>0</v>
      </c>
      <c r="AF34" s="199"/>
      <c r="AG34" s="178">
        <f>SUMIFS(Flat_file!$J:$J,Flat_file!$B:$B,Result_summary!$C$1,Flat_file!$C:$C,"Women",Flat_file!$D:$D,"25-29",Flat_file!$E:$E,"NE",Flat_file!$H:$H,"E",Flat_file!$G:$G,"Below")</f>
        <v>0</v>
      </c>
      <c r="AH34" s="199"/>
      <c r="AI34" s="178">
        <f>SUMIFS(Flat_file!$J:$J,Flat_file!$B:$B,Result_summary!$C$1,Flat_file!$C:$C,"Women",Flat_file!$D:$D,"15-19",Flat_file!$E:$E,"NE",Flat_file!$H:$H,"U",Flat_file!$G:$G,"Below")</f>
        <v>0</v>
      </c>
      <c r="AJ34" s="178">
        <f>SUMIFS(Flat_file!$J:$J,Flat_file!$B:$B,Result_summary!$C$1,Flat_file!$C:$C,"Women",Flat_file!$D:$D,"20-24",Flat_file!$E:$E,"NE",Flat_file!$H:$H,"U",Flat_file!$G:$G,"Below")</f>
        <v>0</v>
      </c>
      <c r="AK34" s="178">
        <f>SUMIFS(Flat_file!$J:$J,Flat_file!$B:$B,Result_summary!$C$1,Flat_file!$C:$C,"Women",Flat_file!$D:$D,"25-29",Flat_file!$E:$E,"NE",Flat_file!$H:$H,"U",Flat_file!$G:$G,"Below")</f>
        <v>0</v>
      </c>
      <c r="AL34" s="178">
        <f>SUMIFS(Flat_file!$J:$J,Flat_file!$B:$B,Result_summary!$C$1,Flat_file!$C:$C,"Women",Flat_file!$D:$D,"15-19",Flat_file!$E:$E,"NE",Flat_file!$H:$H,"I",Flat_file!$G:$G,"Below")</f>
        <v>0</v>
      </c>
      <c r="AM34" s="178">
        <f>SUMIFS(Flat_file!$J:$J,Flat_file!$B:$B,Result_summary!$C$1,Flat_file!$C:$C,"Women",Flat_file!$D:$D,"20-24",Flat_file!$E:$E,"NE",Flat_file!$H:$H,"I",Flat_file!$G:$G,"Below")</f>
        <v>0</v>
      </c>
      <c r="AN34" s="178">
        <f>SUMIFS(Flat_file!$J:$J,Flat_file!$B:$B,Result_summary!$C$1,Flat_file!$C:$C,"Women",Flat_file!$D:$D,"25-29",Flat_file!$E:$E,"NE",Flat_file!$H:$H,"I",Flat_file!$G:$G,"Below")</f>
        <v>0</v>
      </c>
    </row>
    <row r="35" spans="1:40" ht="15.75" customHeight="1">
      <c r="A35" s="267"/>
      <c r="B35" s="270"/>
      <c r="C35" s="204" t="s">
        <v>12</v>
      </c>
      <c r="D35" s="184">
        <f>SUMIFS(Flat_file!$I:$I,Flat_file!$B:$B,Result_summary!$C$1,Flat_file!$C:$C,"Women",Flat_file!$D:$D,"15-19",Flat_file!$E:$E,"NE",Flat_file!$H:$H,"E",Flat_file!$G:$G,"Upper")</f>
        <v>0</v>
      </c>
      <c r="E35" s="205"/>
      <c r="F35" s="184">
        <f>SUMIFS(Flat_file!$I:$I,Flat_file!$B:$B,Result_summary!$C$1,Flat_file!$C:$C,"Women",Flat_file!$D:$D,"20-24",Flat_file!$E:$E,"NE",Flat_file!$H:$H,"E",Flat_file!$G:$G,"Upper")</f>
        <v>0</v>
      </c>
      <c r="G35" s="205"/>
      <c r="H35" s="184">
        <f>SUMIFS(Flat_file!$I:$I,Flat_file!$B:$B,Result_summary!$C$1,Flat_file!$C:$C,"Women",Flat_file!$D:$D,"25-29",Flat_file!$E:$E,"NE",Flat_file!$H:$H,"E",Flat_file!$G:$G,"Upper")</f>
        <v>0</v>
      </c>
      <c r="I35" s="205"/>
      <c r="J35" s="184">
        <f>SUMIFS(Flat_file!$I:$I,Flat_file!$B:$B,Result_summary!$C$1,Flat_file!$C:$C,"Women",Flat_file!$D:$D,"15-19",Flat_file!$E:$E,"NE",Flat_file!$H:$H,"U",Flat_file!$G:$G,"Upper")</f>
        <v>0</v>
      </c>
      <c r="K35" s="184">
        <f>SUMIFS(Flat_file!$I:$I,Flat_file!$B:$B,Result_summary!$C$1,Flat_file!$C:$C,"Women",Flat_file!$D:$D,"20-24",Flat_file!$E:$E,"NE",Flat_file!$H:$H,"U",Flat_file!$G:$G,"Upper")</f>
        <v>0</v>
      </c>
      <c r="L35" s="184">
        <f>SUMIFS(Flat_file!$I:$I,Flat_file!$B:$B,Result_summary!$C$1,Flat_file!$C:$C,"Women",Flat_file!$D:$D,"25-29",Flat_file!$E:$E,"NE",Flat_file!$H:$H,"U",Flat_file!$G:$G,"Upper")</f>
        <v>0</v>
      </c>
      <c r="M35" s="184">
        <f>SUMIFS(Flat_file!$I:$I,Flat_file!$B:$B,Result_summary!$C$1,Flat_file!$C:$C,"Women",Flat_file!$D:$D,"15-19",Flat_file!$E:$E,"NE",Flat_file!$H:$H,"I",Flat_file!$G:$G,"Upper")</f>
        <v>0</v>
      </c>
      <c r="N35" s="184">
        <f>SUMIFS(Flat_file!$I:$I,Flat_file!$B:$B,Result_summary!$C$1,Flat_file!$C:$C,"Women",Flat_file!$D:$D,"20-24",Flat_file!$E:$E,"NE",Flat_file!$H:$H,"I",Flat_file!$G:$G,"Upper")</f>
        <v>0</v>
      </c>
      <c r="O35" s="206">
        <f>SUMIFS(Flat_file!$I:$I,Flat_file!$B:$B,Result_summary!$C$1,Flat_file!$C:$C,"Women",Flat_file!$D:$D,"25-29",Flat_file!$E:$E,"NE",Flat_file!$H:$H,"I",Flat_file!$G:$G,"Upper")</f>
        <v>0</v>
      </c>
      <c r="P35" s="207">
        <f t="shared" si="78"/>
        <v>0</v>
      </c>
      <c r="Q35" s="205"/>
      <c r="R35" s="186">
        <f t="shared" si="79"/>
        <v>0</v>
      </c>
      <c r="S35" s="208">
        <f t="shared" si="80"/>
        <v>0</v>
      </c>
      <c r="T35" s="186">
        <f t="shared" si="81"/>
        <v>0</v>
      </c>
      <c r="U35" s="205"/>
      <c r="V35" s="186">
        <f t="shared" si="82"/>
        <v>0</v>
      </c>
      <c r="W35" s="186">
        <f t="shared" si="83"/>
        <v>0</v>
      </c>
      <c r="X35" s="209">
        <f>SUMIFS(Flat_file!$I:$I,Flat_file!$B:$B,Result_summary!$C$1,Flat_file!$C:$C,"Women",Flat_file!$D:$D,"18-24",Flat_file!$E:$E,"NE",Flat_file!$H:$H,"E",Flat_file!$G:$G,"Upper")</f>
        <v>0</v>
      </c>
      <c r="Y35" s="205"/>
      <c r="Z35" s="186">
        <f>SUMIFS(Flat_file!$I:$I,Flat_file!$B:$B,Result_summary!$C$1,Flat_file!$C:$C,"Women",Flat_file!$D:$D,"18-24",Flat_file!$E:$E,"NE",Flat_file!$H:$H,"U",Flat_file!$G:$G,"Upper")</f>
        <v>0</v>
      </c>
      <c r="AA35" s="186">
        <f>SUMIFS(Flat_file!$I:$I,Flat_file!$B:$B,Result_summary!$C$1,Flat_file!$C:$C,"Women",Flat_file!$D:$D,"18-24",Flat_file!$E:$E,"NE",Flat_file!$H:$H,"I",Flat_file!$G:$G,"Upper")</f>
        <v>0</v>
      </c>
      <c r="AC35" s="187">
        <f>SUMIFS(Flat_file!$J:$J,Flat_file!$B:$B,Result_summary!$C$1,Flat_file!$C:$C,"Women",Flat_file!$D:$D,"15-19",Flat_file!$E:$E,"NE",Flat_file!$H:$H,"E",Flat_file!$G:$G,"Upper")</f>
        <v>0</v>
      </c>
      <c r="AD35" s="205"/>
      <c r="AE35" s="184">
        <f>SUMIFS(Flat_file!$J:$J,Flat_file!$B:$B,Result_summary!$C$1,Flat_file!$C:$C,"Women",Flat_file!$D:$D,"20-24",Flat_file!$E:$E,"NE",Flat_file!$H:$H,"E",Flat_file!$G:$G,"Upper")</f>
        <v>0</v>
      </c>
      <c r="AF35" s="205"/>
      <c r="AG35" s="184">
        <f>SUMIFS(Flat_file!$J:$J,Flat_file!$B:$B,Result_summary!$C$1,Flat_file!$C:$C,"Women",Flat_file!$D:$D,"25-29",Flat_file!$E:$E,"NE",Flat_file!$H:$H,"E",Flat_file!$G:$G,"Upper")</f>
        <v>0</v>
      </c>
      <c r="AH35" s="205"/>
      <c r="AI35" s="184">
        <f>SUMIFS(Flat_file!$J:$J,Flat_file!$B:$B,Result_summary!$C$1,Flat_file!$C:$C,"Women",Flat_file!$D:$D,"15-19",Flat_file!$E:$E,"NE",Flat_file!$H:$H,"U",Flat_file!$G:$G,"Upper")</f>
        <v>0</v>
      </c>
      <c r="AJ35" s="184">
        <f>SUMIFS(Flat_file!$J:$J,Flat_file!$B:$B,Result_summary!$C$1,Flat_file!$C:$C,"Women",Flat_file!$D:$D,"20-24",Flat_file!$E:$E,"NE",Flat_file!$H:$H,"U",Flat_file!$G:$G,"Upper")</f>
        <v>0</v>
      </c>
      <c r="AK35" s="184">
        <f>SUMIFS(Flat_file!$J:$J,Flat_file!$B:$B,Result_summary!$C$1,Flat_file!$C:$C,"Women",Flat_file!$D:$D,"25-29",Flat_file!$E:$E,"NE",Flat_file!$H:$H,"U",Flat_file!$G:$G,"Upper")</f>
        <v>0</v>
      </c>
      <c r="AL35" s="184">
        <f>SUMIFS(Flat_file!$J:$J,Flat_file!$B:$B,Result_summary!$C$1,Flat_file!$C:$C,"Women",Flat_file!$D:$D,"15-19",Flat_file!$E:$E,"NE",Flat_file!$H:$H,"I",Flat_file!$G:$G,"Upper")</f>
        <v>0</v>
      </c>
      <c r="AM35" s="184">
        <f>SUMIFS(Flat_file!$J:$J,Flat_file!$B:$B,Result_summary!$C$1,Flat_file!$C:$C,"Women",Flat_file!$D:$D,"20-24",Flat_file!$E:$E,"NE",Flat_file!$H:$H,"I",Flat_file!$G:$G,"Upper")</f>
        <v>0</v>
      </c>
      <c r="AN35" s="184">
        <f>SUMIFS(Flat_file!$J:$J,Flat_file!$B:$B,Result_summary!$C$1,Flat_file!$C:$C,"Women",Flat_file!$D:$D,"25-29",Flat_file!$E:$E,"NE",Flat_file!$H:$H,"I",Flat_file!$G:$G,"Upper")</f>
        <v>0</v>
      </c>
    </row>
    <row r="36" spans="1:40" ht="15.75" customHeight="1">
      <c r="A36" s="267"/>
      <c r="B36" s="270"/>
      <c r="C36" s="225" t="s">
        <v>227</v>
      </c>
      <c r="D36" s="184">
        <f>SUMIFS(Flat_file!$I:$I,Flat_file!$B:$B,Result_summary!$C$1,Flat_file!$C:$C,"Women",Flat_file!$D:$D,"15-19",Flat_file!$E:$E,"NE",Flat_file!$H:$H,"E",Flat_file!$G:$G,"Upper - general")</f>
        <v>0</v>
      </c>
      <c r="E36" s="205"/>
      <c r="F36" s="184">
        <f>SUMIFS(Flat_file!$I:$I,Flat_file!$B:$B,Result_summary!$C$1,Flat_file!$C:$C,"Women",Flat_file!$D:$D,"20-24",Flat_file!$E:$E,"NE",Flat_file!$H:$H,"E",Flat_file!$G:$G,"Upper - general")</f>
        <v>0</v>
      </c>
      <c r="G36" s="205"/>
      <c r="H36" s="184">
        <f>SUMIFS(Flat_file!$I:$I,Flat_file!$B:$B,Result_summary!$C$1,Flat_file!$C:$C,"Women",Flat_file!$D:$D,"25-29",Flat_file!$E:$E,"NE",Flat_file!$H:$H,"E",Flat_file!$G:$G,"Upper - general")</f>
        <v>0</v>
      </c>
      <c r="I36" s="205"/>
      <c r="J36" s="184">
        <f>SUMIFS(Flat_file!$I:$I,Flat_file!$B:$B,Result_summary!$C$1,Flat_file!$C:$C,"Women",Flat_file!$D:$D,"15-19",Flat_file!$E:$E,"NE",Flat_file!$H:$H,"U",Flat_file!$G:$G,"Upper - general")</f>
        <v>0</v>
      </c>
      <c r="K36" s="184">
        <f>SUMIFS(Flat_file!$I:$I,Flat_file!$B:$B,Result_summary!$C$1,Flat_file!$C:$C,"Women",Flat_file!$D:$D,"20-24",Flat_file!$E:$E,"NE",Flat_file!$H:$H,"U",Flat_file!$G:$G,"Upper - general")</f>
        <v>0</v>
      </c>
      <c r="L36" s="184">
        <f>SUMIFS(Flat_file!$I:$I,Flat_file!$B:$B,Result_summary!$C$1,Flat_file!$C:$C,"Women",Flat_file!$D:$D,"25-29",Flat_file!$E:$E,"NE",Flat_file!$H:$H,"U",Flat_file!$G:$G,"Upper - general")</f>
        <v>0</v>
      </c>
      <c r="M36" s="184">
        <f>SUMIFS(Flat_file!$I:$I,Flat_file!$B:$B,Result_summary!$C$1,Flat_file!$C:$C,"Women",Flat_file!$D:$D,"15-19",Flat_file!$E:$E,"NE",Flat_file!$H:$H,"I",Flat_file!$G:$G,"Upper - general")</f>
        <v>0</v>
      </c>
      <c r="N36" s="184">
        <f>SUMIFS(Flat_file!$I:$I,Flat_file!$B:$B,Result_summary!$C$1,Flat_file!$C:$C,"Women",Flat_file!$D:$D,"20-24",Flat_file!$E:$E,"NE",Flat_file!$H:$H,"I",Flat_file!$G:$G,"Upper - general")</f>
        <v>0</v>
      </c>
      <c r="O36" s="206">
        <f>SUMIFS(Flat_file!$I:$I,Flat_file!$B:$B,Result_summary!$C$1,Flat_file!$C:$C,"Women",Flat_file!$D:$D,"25-29",Flat_file!$E:$E,"NE",Flat_file!$H:$H,"I",Flat_file!$G:$G,"Upper - general")</f>
        <v>0</v>
      </c>
      <c r="P36" s="207">
        <f t="shared" si="78"/>
        <v>0</v>
      </c>
      <c r="Q36" s="205"/>
      <c r="R36" s="186">
        <f t="shared" si="79"/>
        <v>0</v>
      </c>
      <c r="S36" s="208">
        <f t="shared" si="80"/>
        <v>0</v>
      </c>
      <c r="T36" s="186">
        <f t="shared" si="81"/>
        <v>0</v>
      </c>
      <c r="U36" s="205"/>
      <c r="V36" s="186">
        <f t="shared" si="82"/>
        <v>0</v>
      </c>
      <c r="W36" s="186">
        <f t="shared" si="83"/>
        <v>0</v>
      </c>
      <c r="X36" s="209">
        <f>SUMIFS(Flat_file!$I:$I,Flat_file!$B:$B,Result_summary!$C$1,Flat_file!$C:$C,"Women",Flat_file!$D:$D,"18-24",Flat_file!$E:$E,"NE",Flat_file!$H:$H,"E",Flat_file!$G:$G,"Upper - general")</f>
        <v>0</v>
      </c>
      <c r="Y36" s="205"/>
      <c r="Z36" s="186">
        <f>SUMIFS(Flat_file!$I:$I,Flat_file!$B:$B,Result_summary!$C$1,Flat_file!$C:$C,"Women",Flat_file!$D:$D,"18-24",Flat_file!$E:$E,"NE",Flat_file!$H:$H,"U",Flat_file!$G:$G,"Upper - general")</f>
        <v>0</v>
      </c>
      <c r="AA36" s="186">
        <f>SUMIFS(Flat_file!$I:$I,Flat_file!$B:$B,Result_summary!$C$1,Flat_file!$C:$C,"Women",Flat_file!$D:$D,"18-24",Flat_file!$E:$E,"NE",Flat_file!$H:$H,"I",Flat_file!$G:$G,"Upper - general")</f>
        <v>0</v>
      </c>
      <c r="AC36" s="187">
        <f>SUMIFS(Flat_file!$J:$J,Flat_file!$B:$B,Result_summary!$C$1,Flat_file!$C:$C,"Women",Flat_file!$D:$D,"15-19",Flat_file!$E:$E,"NE",Flat_file!$H:$H,"E",Flat_file!$G:$G,"Upper - general")</f>
        <v>0</v>
      </c>
      <c r="AD36" s="205"/>
      <c r="AE36" s="184">
        <f>SUMIFS(Flat_file!$J:$J,Flat_file!$B:$B,Result_summary!$C$1,Flat_file!$C:$C,"Women",Flat_file!$D:$D,"20-24",Flat_file!$E:$E,"NE",Flat_file!$H:$H,"E",Flat_file!$G:$G,"Upper - general")</f>
        <v>0</v>
      </c>
      <c r="AF36" s="205"/>
      <c r="AG36" s="184">
        <f>SUMIFS(Flat_file!$J:$J,Flat_file!$B:$B,Result_summary!$C$1,Flat_file!$C:$C,"Women",Flat_file!$D:$D,"25-29",Flat_file!$E:$E,"NE",Flat_file!$H:$H,"E",Flat_file!$G:$G,"Upper - general")</f>
        <v>0</v>
      </c>
      <c r="AH36" s="205"/>
      <c r="AI36" s="184">
        <f>SUMIFS(Flat_file!$J:$J,Flat_file!$B:$B,Result_summary!$C$1,Flat_file!$C:$C,"Women",Flat_file!$D:$D,"15-19",Flat_file!$E:$E,"NE",Flat_file!$H:$H,"U",Flat_file!$G:$G,"Upper - general")</f>
        <v>0</v>
      </c>
      <c r="AJ36" s="184">
        <f>SUMIFS(Flat_file!$J:$J,Flat_file!$B:$B,Result_summary!$C$1,Flat_file!$C:$C,"Women",Flat_file!$D:$D,"20-24",Flat_file!$E:$E,"NE",Flat_file!$H:$H,"U",Flat_file!$G:$G,"Upper - general")</f>
        <v>0</v>
      </c>
      <c r="AK36" s="184">
        <f>SUMIFS(Flat_file!$J:$J,Flat_file!$B:$B,Result_summary!$C$1,Flat_file!$C:$C,"Women",Flat_file!$D:$D,"25-29",Flat_file!$E:$E,"NE",Flat_file!$H:$H,"U",Flat_file!$G:$G,"Upper - general")</f>
        <v>0</v>
      </c>
      <c r="AL36" s="184">
        <f>SUMIFS(Flat_file!$J:$J,Flat_file!$B:$B,Result_summary!$C$1,Flat_file!$C:$C,"Women",Flat_file!$D:$D,"15-19",Flat_file!$E:$E,"NE",Flat_file!$H:$H,"I",Flat_file!$G:$G,"Upper - general")</f>
        <v>0</v>
      </c>
      <c r="AM36" s="184">
        <f>SUMIFS(Flat_file!$J:$J,Flat_file!$B:$B,Result_summary!$C$1,Flat_file!$C:$C,"Women",Flat_file!$D:$D,"20-24",Flat_file!$E:$E,"NE",Flat_file!$H:$H,"I",Flat_file!$G:$G,"Upper - general")</f>
        <v>0</v>
      </c>
      <c r="AN36" s="184">
        <f>SUMIFS(Flat_file!$J:$J,Flat_file!$B:$B,Result_summary!$C$1,Flat_file!$C:$C,"Women",Flat_file!$D:$D,"25-29",Flat_file!$E:$E,"NE",Flat_file!$H:$H,"I",Flat_file!$G:$G,"Upper - general")</f>
        <v>0</v>
      </c>
    </row>
    <row r="37" spans="1:40" ht="15.75" customHeight="1">
      <c r="A37" s="267"/>
      <c r="B37" s="270"/>
      <c r="C37" s="225" t="s">
        <v>228</v>
      </c>
      <c r="D37" s="184">
        <f>SUMIFS(Flat_file!$I:$I,Flat_file!$B:$B,Result_summary!$C$1,Flat_file!$C:$C,"Women",Flat_file!$D:$D,"15-19",Flat_file!$E:$E,"NE",Flat_file!$H:$H,"E",Flat_file!$G:$G,"Upper - vocational")</f>
        <v>0</v>
      </c>
      <c r="E37" s="205"/>
      <c r="F37" s="184">
        <f>SUMIFS(Flat_file!$I:$I,Flat_file!$B:$B,Result_summary!$C$1,Flat_file!$C:$C,"Women",Flat_file!$D:$D,"20-24",Flat_file!$E:$E,"NE",Flat_file!$H:$H,"E",Flat_file!$G:$G,"Upper - vocational")</f>
        <v>0</v>
      </c>
      <c r="G37" s="205"/>
      <c r="H37" s="184">
        <f>SUMIFS(Flat_file!$I:$I,Flat_file!$B:$B,Result_summary!$C$1,Flat_file!$C:$C,"Women",Flat_file!$D:$D,"25-29",Flat_file!$E:$E,"NE",Flat_file!$H:$H,"E",Flat_file!$G:$G,"Upper - vocational")</f>
        <v>0</v>
      </c>
      <c r="I37" s="205"/>
      <c r="J37" s="184">
        <f>SUMIFS(Flat_file!$I:$I,Flat_file!$B:$B,Result_summary!$C$1,Flat_file!$C:$C,"Women",Flat_file!$D:$D,"15-19",Flat_file!$E:$E,"NE",Flat_file!$H:$H,"U",Flat_file!$G:$G,"Upper - vocational")</f>
        <v>0</v>
      </c>
      <c r="K37" s="184">
        <f>SUMIFS(Flat_file!$I:$I,Flat_file!$B:$B,Result_summary!$C$1,Flat_file!$C:$C,"Women",Flat_file!$D:$D,"20-24",Flat_file!$E:$E,"NE",Flat_file!$H:$H,"U",Flat_file!$G:$G,"Upper - vocational")</f>
        <v>0</v>
      </c>
      <c r="L37" s="184">
        <f>SUMIFS(Flat_file!$I:$I,Flat_file!$B:$B,Result_summary!$C$1,Flat_file!$C:$C,"Women",Flat_file!$D:$D,"25-29",Flat_file!$E:$E,"NE",Flat_file!$H:$H,"U",Flat_file!$G:$G,"Upper - vocational")</f>
        <v>0</v>
      </c>
      <c r="M37" s="184">
        <f>SUMIFS(Flat_file!$I:$I,Flat_file!$B:$B,Result_summary!$C$1,Flat_file!$C:$C,"Women",Flat_file!$D:$D,"15-19",Flat_file!$E:$E,"NE",Flat_file!$H:$H,"I",Flat_file!$G:$G,"Upper - vocational")</f>
        <v>0</v>
      </c>
      <c r="N37" s="184">
        <f>SUMIFS(Flat_file!$I:$I,Flat_file!$B:$B,Result_summary!$C$1,Flat_file!$C:$C,"Women",Flat_file!$D:$D,"20-24",Flat_file!$E:$E,"NE",Flat_file!$H:$H,"I",Flat_file!$G:$G,"Upper - vocational")</f>
        <v>0</v>
      </c>
      <c r="O37" s="206">
        <f>SUMIFS(Flat_file!$I:$I,Flat_file!$B:$B,Result_summary!$C$1,Flat_file!$C:$C,"Women",Flat_file!$D:$D,"25-29",Flat_file!$E:$E,"NE",Flat_file!$H:$H,"I",Flat_file!$G:$G,"Upper - vocational")</f>
        <v>0</v>
      </c>
      <c r="P37" s="207">
        <f t="shared" si="78"/>
        <v>0</v>
      </c>
      <c r="Q37" s="205"/>
      <c r="R37" s="186">
        <f t="shared" si="79"/>
        <v>0</v>
      </c>
      <c r="S37" s="208">
        <f t="shared" si="80"/>
        <v>0</v>
      </c>
      <c r="T37" s="186">
        <f t="shared" si="81"/>
        <v>0</v>
      </c>
      <c r="U37" s="205"/>
      <c r="V37" s="186">
        <f t="shared" si="82"/>
        <v>0</v>
      </c>
      <c r="W37" s="186">
        <f t="shared" si="83"/>
        <v>0</v>
      </c>
      <c r="X37" s="209">
        <f>SUMIFS(Flat_file!$I:$I,Flat_file!$B:$B,Result_summary!$C$1,Flat_file!$C:$C,"Women",Flat_file!$D:$D,"18-24",Flat_file!$E:$E,"NE",Flat_file!$H:$H,"E",Flat_file!$G:$G,"Upper - vocational")</f>
        <v>0</v>
      </c>
      <c r="Y37" s="205"/>
      <c r="Z37" s="186">
        <f>SUMIFS(Flat_file!$I:$I,Flat_file!$B:$B,Result_summary!$C$1,Flat_file!$C:$C,"Women",Flat_file!$D:$D,"18-24",Flat_file!$E:$E,"NE",Flat_file!$H:$H,"U",Flat_file!$G:$G,"Upper - vocational")</f>
        <v>0</v>
      </c>
      <c r="AA37" s="186">
        <f>SUMIFS(Flat_file!$I:$I,Flat_file!$B:$B,Result_summary!$C$1,Flat_file!$C:$C,"Women",Flat_file!$D:$D,"18-24",Flat_file!$E:$E,"NE",Flat_file!$H:$H,"I",Flat_file!$G:$G,"Upper - vocational")</f>
        <v>0</v>
      </c>
      <c r="AC37" s="187">
        <f>SUMIFS(Flat_file!$J:$J,Flat_file!$B:$B,Result_summary!$C$1,Flat_file!$C:$C,"Women",Flat_file!$D:$D,"15-19",Flat_file!$E:$E,"NE",Flat_file!$H:$H,"E",Flat_file!$G:$G,"Upper - vocational")</f>
        <v>0</v>
      </c>
      <c r="AD37" s="205"/>
      <c r="AE37" s="184">
        <f>SUMIFS(Flat_file!$J:$J,Flat_file!$B:$B,Result_summary!$C$1,Flat_file!$C:$C,"Women",Flat_file!$D:$D,"20-24",Flat_file!$E:$E,"NE",Flat_file!$H:$H,"E",Flat_file!$G:$G,"Upper - vocational")</f>
        <v>0</v>
      </c>
      <c r="AF37" s="205"/>
      <c r="AG37" s="184">
        <f>SUMIFS(Flat_file!$J:$J,Flat_file!$B:$B,Result_summary!$C$1,Flat_file!$C:$C,"Women",Flat_file!$D:$D,"25-29",Flat_file!$E:$E,"NE",Flat_file!$H:$H,"E",Flat_file!$G:$G,"Upper - vocational")</f>
        <v>0</v>
      </c>
      <c r="AH37" s="205"/>
      <c r="AI37" s="184">
        <f>SUMIFS(Flat_file!$J:$J,Flat_file!$B:$B,Result_summary!$C$1,Flat_file!$C:$C,"Women",Flat_file!$D:$D,"15-19",Flat_file!$E:$E,"NE",Flat_file!$H:$H,"U",Flat_file!$G:$G,"Upper - vocational")</f>
        <v>0</v>
      </c>
      <c r="AJ37" s="184">
        <f>SUMIFS(Flat_file!$J:$J,Flat_file!$B:$B,Result_summary!$C$1,Flat_file!$C:$C,"Women",Flat_file!$D:$D,"20-24",Flat_file!$E:$E,"NE",Flat_file!$H:$H,"U",Flat_file!$G:$G,"Upper - vocational")</f>
        <v>0</v>
      </c>
      <c r="AK37" s="184">
        <f>SUMIFS(Flat_file!$J:$J,Flat_file!$B:$B,Result_summary!$C$1,Flat_file!$C:$C,"Women",Flat_file!$D:$D,"25-29",Flat_file!$E:$E,"NE",Flat_file!$H:$H,"U",Flat_file!$G:$G,"Upper - vocational")</f>
        <v>0</v>
      </c>
      <c r="AL37" s="184">
        <f>SUMIFS(Flat_file!$J:$J,Flat_file!$B:$B,Result_summary!$C$1,Flat_file!$C:$C,"Women",Flat_file!$D:$D,"15-19",Flat_file!$E:$E,"NE",Flat_file!$H:$H,"I",Flat_file!$G:$G,"Upper - vocational")</f>
        <v>0</v>
      </c>
      <c r="AM37" s="184">
        <f>SUMIFS(Flat_file!$J:$J,Flat_file!$B:$B,Result_summary!$C$1,Flat_file!$C:$C,"Women",Flat_file!$D:$D,"20-24",Flat_file!$E:$E,"NE",Flat_file!$H:$H,"I",Flat_file!$G:$G,"Upper - vocational")</f>
        <v>0</v>
      </c>
      <c r="AN37" s="184">
        <f>SUMIFS(Flat_file!$J:$J,Flat_file!$B:$B,Result_summary!$C$1,Flat_file!$C:$C,"Women",Flat_file!$D:$D,"25-29",Flat_file!$E:$E,"NE",Flat_file!$H:$H,"I",Flat_file!$G:$G,"Upper - vocational")</f>
        <v>0</v>
      </c>
    </row>
    <row r="38" spans="1:40" ht="15.75" customHeight="1">
      <c r="A38" s="267"/>
      <c r="B38" s="270"/>
      <c r="C38" s="204" t="s">
        <v>9</v>
      </c>
      <c r="D38" s="184">
        <f>SUMIFS(Flat_file!$I:$I,Flat_file!$B:$B,Result_summary!$C$1,Flat_file!$C:$C,"Women",Flat_file!$D:$D,"15-19",Flat_file!$E:$E,"NE",Flat_file!$H:$H,"E",Flat_file!$G:$G,"Tertiary")</f>
        <v>0</v>
      </c>
      <c r="E38" s="205"/>
      <c r="F38" s="184">
        <f>SUMIFS(Flat_file!$I:$I,Flat_file!$B:$B,Result_summary!$C$1,Flat_file!$C:$C,"Women",Flat_file!$D:$D,"20-24",Flat_file!$E:$E,"NE",Flat_file!$H:$H,"E",Flat_file!$G:$G,"Tertiary")</f>
        <v>0</v>
      </c>
      <c r="G38" s="205"/>
      <c r="H38" s="184">
        <f>SUMIFS(Flat_file!$I:$I,Flat_file!$B:$B,Result_summary!$C$1,Flat_file!$C:$C,"Women",Flat_file!$D:$D,"25-29",Flat_file!$E:$E,"NE",Flat_file!$H:$H,"E",Flat_file!$G:$G,"Tertiary")</f>
        <v>0</v>
      </c>
      <c r="I38" s="205"/>
      <c r="J38" s="184">
        <f>SUMIFS(Flat_file!$I:$I,Flat_file!$B:$B,Result_summary!$C$1,Flat_file!$C:$C,"Women",Flat_file!$D:$D,"15-19",Flat_file!$E:$E,"NE",Flat_file!$H:$H,"U",Flat_file!$G:$G,"Tertiary")</f>
        <v>0</v>
      </c>
      <c r="K38" s="184">
        <f>SUMIFS(Flat_file!$I:$I,Flat_file!$B:$B,Result_summary!$C$1,Flat_file!$C:$C,"Women",Flat_file!$D:$D,"20-24",Flat_file!$E:$E,"NE",Flat_file!$H:$H,"U",Flat_file!$G:$G,"Tertiary")</f>
        <v>0</v>
      </c>
      <c r="L38" s="184">
        <f>SUMIFS(Flat_file!$I:$I,Flat_file!$B:$B,Result_summary!$C$1,Flat_file!$C:$C,"Women",Flat_file!$D:$D,"25-29",Flat_file!$E:$E,"NE",Flat_file!$H:$H,"U",Flat_file!$G:$G,"Tertiary")</f>
        <v>0</v>
      </c>
      <c r="M38" s="184">
        <f>SUMIFS(Flat_file!$I:$I,Flat_file!$B:$B,Result_summary!$C$1,Flat_file!$C:$C,"Women",Flat_file!$D:$D,"15-19",Flat_file!$E:$E,"NE",Flat_file!$H:$H,"I",Flat_file!$G:$G,"Tertiary")</f>
        <v>0</v>
      </c>
      <c r="N38" s="184">
        <f>SUMIFS(Flat_file!$I:$I,Flat_file!$B:$B,Result_summary!$C$1,Flat_file!$C:$C,"Women",Flat_file!$D:$D,"20-24",Flat_file!$E:$E,"NE",Flat_file!$H:$H,"I",Flat_file!$G:$G,"Tertiary")</f>
        <v>0</v>
      </c>
      <c r="O38" s="206">
        <f>SUMIFS(Flat_file!$I:$I,Flat_file!$B:$B,Result_summary!$C$1,Flat_file!$C:$C,"Women",Flat_file!$D:$D,"25-29",Flat_file!$E:$E,"NE",Flat_file!$H:$H,"I",Flat_file!$G:$G,"Tertiary")</f>
        <v>0</v>
      </c>
      <c r="P38" s="207">
        <f t="shared" si="78"/>
        <v>0</v>
      </c>
      <c r="Q38" s="205"/>
      <c r="R38" s="186">
        <f t="shared" si="79"/>
        <v>0</v>
      </c>
      <c r="S38" s="208">
        <f t="shared" si="80"/>
        <v>0</v>
      </c>
      <c r="T38" s="186">
        <f t="shared" si="81"/>
        <v>0</v>
      </c>
      <c r="U38" s="205"/>
      <c r="V38" s="186">
        <f t="shared" si="82"/>
        <v>0</v>
      </c>
      <c r="W38" s="186">
        <f t="shared" si="83"/>
        <v>0</v>
      </c>
      <c r="X38" s="209">
        <f>SUMIFS(Flat_file!$I:$I,Flat_file!$B:$B,Result_summary!$C$1,Flat_file!$C:$C,"Women",Flat_file!$D:$D,"18-24",Flat_file!$E:$E,"NE",Flat_file!$H:$H,"E",Flat_file!$G:$G,"Tertiary")</f>
        <v>0</v>
      </c>
      <c r="Y38" s="205"/>
      <c r="Z38" s="186">
        <f>SUMIFS(Flat_file!$I:$I,Flat_file!$B:$B,Result_summary!$C$1,Flat_file!$C:$C,"Women",Flat_file!$D:$D,"18-24",Flat_file!$E:$E,"NE",Flat_file!$H:$H,"U",Flat_file!$G:$G,"Tertiary")</f>
        <v>0</v>
      </c>
      <c r="AA38" s="186">
        <f>SUMIFS(Flat_file!$I:$I,Flat_file!$B:$B,Result_summary!$C$1,Flat_file!$C:$C,"Women",Flat_file!$D:$D,"18-24",Flat_file!$E:$E,"NE",Flat_file!$H:$H,"I",Flat_file!$G:$G,"Tertiary")</f>
        <v>0</v>
      </c>
      <c r="AC38" s="187">
        <f>SUMIFS(Flat_file!$J:$J,Flat_file!$B:$B,Result_summary!$C$1,Flat_file!$C:$C,"Women",Flat_file!$D:$D,"15-19",Flat_file!$E:$E,"NE",Flat_file!$H:$H,"E",Flat_file!$G:$G,"Tertiary")</f>
        <v>0</v>
      </c>
      <c r="AD38" s="205"/>
      <c r="AE38" s="184">
        <f>SUMIFS(Flat_file!$J:$J,Flat_file!$B:$B,Result_summary!$C$1,Flat_file!$C:$C,"Women",Flat_file!$D:$D,"20-24",Flat_file!$E:$E,"NE",Flat_file!$H:$H,"E",Flat_file!$G:$G,"Tertiary")</f>
        <v>0</v>
      </c>
      <c r="AF38" s="205"/>
      <c r="AG38" s="184">
        <f>SUMIFS(Flat_file!$J:$J,Flat_file!$B:$B,Result_summary!$C$1,Flat_file!$C:$C,"Women",Flat_file!$D:$D,"25-29",Flat_file!$E:$E,"NE",Flat_file!$H:$H,"E",Flat_file!$G:$G,"Tertiary")</f>
        <v>0</v>
      </c>
      <c r="AH38" s="205"/>
      <c r="AI38" s="184">
        <f>SUMIFS(Flat_file!$J:$J,Flat_file!$B:$B,Result_summary!$C$1,Flat_file!$C:$C,"Women",Flat_file!$D:$D,"15-19",Flat_file!$E:$E,"NE",Flat_file!$H:$H,"U",Flat_file!$G:$G,"Tertiary")</f>
        <v>0</v>
      </c>
      <c r="AJ38" s="184">
        <f>SUMIFS(Flat_file!$J:$J,Flat_file!$B:$B,Result_summary!$C$1,Flat_file!$C:$C,"Women",Flat_file!$D:$D,"20-24",Flat_file!$E:$E,"NE",Flat_file!$H:$H,"U",Flat_file!$G:$G,"Tertiary")</f>
        <v>0</v>
      </c>
      <c r="AK38" s="184">
        <f>SUMIFS(Flat_file!$J:$J,Flat_file!$B:$B,Result_summary!$C$1,Flat_file!$C:$C,"Women",Flat_file!$D:$D,"25-29",Flat_file!$E:$E,"NE",Flat_file!$H:$H,"U",Flat_file!$G:$G,"Tertiary")</f>
        <v>0</v>
      </c>
      <c r="AL38" s="184">
        <f>SUMIFS(Flat_file!$J:$J,Flat_file!$B:$B,Result_summary!$C$1,Flat_file!$C:$C,"Women",Flat_file!$D:$D,"15-19",Flat_file!$E:$E,"NE",Flat_file!$H:$H,"I",Flat_file!$G:$G,"Tertiary")</f>
        <v>0</v>
      </c>
      <c r="AM38" s="184">
        <f>SUMIFS(Flat_file!$J:$J,Flat_file!$B:$B,Result_summary!$C$1,Flat_file!$C:$C,"Women",Flat_file!$D:$D,"20-24",Flat_file!$E:$E,"NE",Flat_file!$H:$H,"I",Flat_file!$G:$G,"Tertiary")</f>
        <v>0</v>
      </c>
      <c r="AN38" s="184">
        <f>SUMIFS(Flat_file!$J:$J,Flat_file!$B:$B,Result_summary!$C$1,Flat_file!$C:$C,"Women",Flat_file!$D:$D,"25-29",Flat_file!$E:$E,"NE",Flat_file!$H:$H,"I",Flat_file!$G:$G,"Tertiary")</f>
        <v>0</v>
      </c>
    </row>
    <row r="39" spans="1:40" ht="15.75" customHeight="1" thickBot="1">
      <c r="A39" s="268"/>
      <c r="B39" s="270"/>
      <c r="C39" s="210" t="s">
        <v>53</v>
      </c>
      <c r="D39" s="211">
        <f>SUM(D34:D38)</f>
        <v>0</v>
      </c>
      <c r="E39" s="212"/>
      <c r="F39" s="211">
        <f>SUM(F34:F38)</f>
        <v>0</v>
      </c>
      <c r="G39" s="212"/>
      <c r="H39" s="211">
        <f>SUM(H34:H38)</f>
        <v>0</v>
      </c>
      <c r="I39" s="212"/>
      <c r="J39" s="211">
        <f t="shared" ref="J39:O39" si="92">SUM(J34:J38)</f>
        <v>0</v>
      </c>
      <c r="K39" s="211">
        <f t="shared" si="92"/>
        <v>0</v>
      </c>
      <c r="L39" s="211">
        <f t="shared" si="92"/>
        <v>0</v>
      </c>
      <c r="M39" s="211">
        <f t="shared" si="92"/>
        <v>0</v>
      </c>
      <c r="N39" s="211">
        <f t="shared" si="92"/>
        <v>0</v>
      </c>
      <c r="O39" s="213">
        <f t="shared" si="92"/>
        <v>0</v>
      </c>
      <c r="P39" s="214">
        <f t="shared" si="78"/>
        <v>0</v>
      </c>
      <c r="Q39" s="212"/>
      <c r="R39" s="193">
        <f t="shared" si="79"/>
        <v>0</v>
      </c>
      <c r="S39" s="215">
        <f t="shared" si="80"/>
        <v>0</v>
      </c>
      <c r="T39" s="193">
        <f t="shared" si="81"/>
        <v>0</v>
      </c>
      <c r="U39" s="212"/>
      <c r="V39" s="193">
        <f t="shared" si="82"/>
        <v>0</v>
      </c>
      <c r="W39" s="193">
        <f t="shared" si="83"/>
        <v>0</v>
      </c>
      <c r="X39" s="216">
        <f>SUM(X34,X35,X38)</f>
        <v>0</v>
      </c>
      <c r="Y39" s="212"/>
      <c r="Z39" s="193">
        <f>SUM(Z34,Z35,Z38)</f>
        <v>0</v>
      </c>
      <c r="AA39" s="216">
        <f>SUM(AA34,AA35,AA38)</f>
        <v>0</v>
      </c>
      <c r="AC39" s="217">
        <f>SUM(AC34,AC35,AC38)</f>
        <v>0</v>
      </c>
      <c r="AD39" s="212"/>
      <c r="AE39" s="217">
        <f>SUM(AE34,AE35,AE38)</f>
        <v>0</v>
      </c>
      <c r="AF39" s="212"/>
      <c r="AG39" s="217">
        <f>SUM(AG34,AG35,AG38)</f>
        <v>0</v>
      </c>
      <c r="AH39" s="212"/>
      <c r="AI39" s="217">
        <f>SUM(AI34,AI35,AI38)</f>
        <v>0</v>
      </c>
      <c r="AJ39" s="211">
        <f t="shared" ref="AJ39" si="93">SUM(AJ34,AJ35,AJ38)</f>
        <v>0</v>
      </c>
      <c r="AK39" s="211">
        <f t="shared" ref="AK39" si="94">SUM(AK34,AK35,AK38)</f>
        <v>0</v>
      </c>
      <c r="AL39" s="211">
        <f t="shared" ref="AL39" si="95">SUM(AL34,AL35,AL38)</f>
        <v>0</v>
      </c>
      <c r="AM39" s="211">
        <f t="shared" ref="AM39" si="96">SUM(AM34,AM35,AM38)</f>
        <v>0</v>
      </c>
      <c r="AN39" s="211">
        <f t="shared" ref="AN39" si="97">SUM(AN34,AN35,AN38)</f>
        <v>0</v>
      </c>
    </row>
    <row r="40" spans="1:40" ht="15.75" customHeight="1">
      <c r="A40" s="266" t="s">
        <v>53</v>
      </c>
      <c r="B40" s="270"/>
      <c r="C40" s="198" t="s">
        <v>11</v>
      </c>
      <c r="D40" s="218">
        <f>D34+D28</f>
        <v>0</v>
      </c>
      <c r="E40" s="205"/>
      <c r="F40" s="218">
        <f>F34+F28</f>
        <v>0</v>
      </c>
      <c r="G40" s="205"/>
      <c r="H40" s="218">
        <f>H34+H28</f>
        <v>0</v>
      </c>
      <c r="I40" s="205"/>
      <c r="J40" s="218">
        <f t="shared" ref="J40:O41" si="98">J34+J28</f>
        <v>0</v>
      </c>
      <c r="K40" s="218">
        <f t="shared" si="98"/>
        <v>0</v>
      </c>
      <c r="L40" s="218">
        <f t="shared" si="98"/>
        <v>0</v>
      </c>
      <c r="M40" s="218">
        <f t="shared" si="98"/>
        <v>0</v>
      </c>
      <c r="N40" s="218">
        <f t="shared" si="98"/>
        <v>0</v>
      </c>
      <c r="O40" s="219">
        <f t="shared" si="98"/>
        <v>0</v>
      </c>
      <c r="P40" s="220">
        <f t="shared" si="78"/>
        <v>0</v>
      </c>
      <c r="Q40" s="205"/>
      <c r="R40" s="220">
        <f t="shared" si="79"/>
        <v>0</v>
      </c>
      <c r="S40" s="221">
        <f t="shared" si="80"/>
        <v>0</v>
      </c>
      <c r="T40" s="220">
        <f t="shared" si="81"/>
        <v>0</v>
      </c>
      <c r="U40" s="205"/>
      <c r="V40" s="220">
        <f t="shared" si="82"/>
        <v>0</v>
      </c>
      <c r="W40" s="220">
        <f t="shared" si="83"/>
        <v>0</v>
      </c>
      <c r="X40" s="222">
        <f>X34+X28</f>
        <v>0</v>
      </c>
      <c r="Y40" s="205"/>
      <c r="Z40" s="220">
        <f>Z34+Z28</f>
        <v>0</v>
      </c>
      <c r="AA40" s="220">
        <f>AA34+AA28</f>
        <v>0</v>
      </c>
      <c r="AC40" s="223">
        <f t="shared" ref="AC40:AC45" si="99">AC34+AC28</f>
        <v>0</v>
      </c>
      <c r="AD40" s="205"/>
      <c r="AE40" s="218">
        <f t="shared" ref="AE40:AE45" si="100">AE34+AE28</f>
        <v>0</v>
      </c>
      <c r="AF40" s="205"/>
      <c r="AG40" s="218">
        <f t="shared" ref="AG40:AG45" si="101">AG34+AG28</f>
        <v>0</v>
      </c>
      <c r="AH40" s="205"/>
      <c r="AI40" s="218">
        <f t="shared" ref="AI40:AN45" si="102">AI34+AI28</f>
        <v>0</v>
      </c>
      <c r="AJ40" s="218">
        <f t="shared" si="102"/>
        <v>0</v>
      </c>
      <c r="AK40" s="218">
        <f t="shared" si="102"/>
        <v>0</v>
      </c>
      <c r="AL40" s="218">
        <f t="shared" si="102"/>
        <v>0</v>
      </c>
      <c r="AM40" s="218">
        <f t="shared" si="102"/>
        <v>0</v>
      </c>
      <c r="AN40" s="218">
        <f t="shared" si="102"/>
        <v>0</v>
      </c>
    </row>
    <row r="41" spans="1:40" ht="15.75" customHeight="1">
      <c r="A41" s="267"/>
      <c r="B41" s="270"/>
      <c r="C41" s="204" t="s">
        <v>12</v>
      </c>
      <c r="D41" s="184">
        <f>D35+D29</f>
        <v>0</v>
      </c>
      <c r="E41" s="205"/>
      <c r="F41" s="184">
        <f>F35+F29</f>
        <v>0</v>
      </c>
      <c r="G41" s="205"/>
      <c r="H41" s="218">
        <f t="shared" ref="H41:H44" si="103">H35+H29</f>
        <v>0</v>
      </c>
      <c r="I41" s="205"/>
      <c r="J41" s="184">
        <f t="shared" si="98"/>
        <v>0</v>
      </c>
      <c r="K41" s="184">
        <f t="shared" si="98"/>
        <v>0</v>
      </c>
      <c r="L41" s="184">
        <f t="shared" si="98"/>
        <v>0</v>
      </c>
      <c r="M41" s="184">
        <f t="shared" si="98"/>
        <v>0</v>
      </c>
      <c r="N41" s="184">
        <f t="shared" si="98"/>
        <v>0</v>
      </c>
      <c r="O41" s="206">
        <f t="shared" si="98"/>
        <v>0</v>
      </c>
      <c r="P41" s="186">
        <f t="shared" si="78"/>
        <v>0</v>
      </c>
      <c r="Q41" s="205"/>
      <c r="R41" s="186">
        <f t="shared" si="79"/>
        <v>0</v>
      </c>
      <c r="S41" s="208">
        <f t="shared" si="80"/>
        <v>0</v>
      </c>
      <c r="T41" s="186">
        <f t="shared" si="81"/>
        <v>0</v>
      </c>
      <c r="U41" s="205"/>
      <c r="V41" s="186">
        <f t="shared" si="82"/>
        <v>0</v>
      </c>
      <c r="W41" s="186">
        <f t="shared" si="83"/>
        <v>0</v>
      </c>
      <c r="X41" s="209">
        <f>X35+X29</f>
        <v>0</v>
      </c>
      <c r="Y41" s="205"/>
      <c r="Z41" s="186">
        <f>Z35+Z29</f>
        <v>0</v>
      </c>
      <c r="AA41" s="186">
        <f>AA35+AA29</f>
        <v>0</v>
      </c>
      <c r="AC41" s="187">
        <f t="shared" si="99"/>
        <v>0</v>
      </c>
      <c r="AD41" s="205"/>
      <c r="AE41" s="184">
        <f t="shared" si="100"/>
        <v>0</v>
      </c>
      <c r="AF41" s="205"/>
      <c r="AG41" s="184">
        <f t="shared" si="101"/>
        <v>0</v>
      </c>
      <c r="AH41" s="205"/>
      <c r="AI41" s="184">
        <f t="shared" si="102"/>
        <v>0</v>
      </c>
      <c r="AJ41" s="184">
        <f t="shared" si="102"/>
        <v>0</v>
      </c>
      <c r="AK41" s="184">
        <f t="shared" si="102"/>
        <v>0</v>
      </c>
      <c r="AL41" s="184">
        <f t="shared" si="102"/>
        <v>0</v>
      </c>
      <c r="AM41" s="184">
        <f t="shared" si="102"/>
        <v>0</v>
      </c>
      <c r="AN41" s="184">
        <f t="shared" si="102"/>
        <v>0</v>
      </c>
    </row>
    <row r="42" spans="1:40" ht="15.75" customHeight="1">
      <c r="A42" s="267"/>
      <c r="B42" s="270"/>
      <c r="C42" s="225" t="s">
        <v>227</v>
      </c>
      <c r="D42" s="184">
        <f t="shared" ref="D42:D45" si="104">D36+D30</f>
        <v>0</v>
      </c>
      <c r="E42" s="205"/>
      <c r="F42" s="184">
        <f t="shared" ref="F42:F43" si="105">F36+F30</f>
        <v>0</v>
      </c>
      <c r="G42" s="205"/>
      <c r="H42" s="218">
        <f t="shared" si="103"/>
        <v>0</v>
      </c>
      <c r="I42" s="205"/>
      <c r="J42" s="184">
        <f t="shared" ref="J42:O42" si="106">J36+J30</f>
        <v>0</v>
      </c>
      <c r="K42" s="184">
        <f t="shared" si="106"/>
        <v>0</v>
      </c>
      <c r="L42" s="184">
        <f t="shared" si="106"/>
        <v>0</v>
      </c>
      <c r="M42" s="184">
        <f t="shared" si="106"/>
        <v>0</v>
      </c>
      <c r="N42" s="184">
        <f t="shared" si="106"/>
        <v>0</v>
      </c>
      <c r="O42" s="206">
        <f t="shared" si="106"/>
        <v>0</v>
      </c>
      <c r="P42" s="207">
        <f t="shared" si="78"/>
        <v>0</v>
      </c>
      <c r="Q42" s="205"/>
      <c r="R42" s="186">
        <f t="shared" si="79"/>
        <v>0</v>
      </c>
      <c r="S42" s="208">
        <f t="shared" si="80"/>
        <v>0</v>
      </c>
      <c r="T42" s="186">
        <f t="shared" si="81"/>
        <v>0</v>
      </c>
      <c r="U42" s="205"/>
      <c r="V42" s="186">
        <f t="shared" si="82"/>
        <v>0</v>
      </c>
      <c r="W42" s="186">
        <f t="shared" si="83"/>
        <v>0</v>
      </c>
      <c r="X42" s="209">
        <f t="shared" ref="X42:X44" si="107">X36+X30</f>
        <v>0</v>
      </c>
      <c r="Y42" s="205"/>
      <c r="Z42" s="186">
        <f t="shared" ref="Z42:AA42" si="108">Z36+Z30</f>
        <v>0</v>
      </c>
      <c r="AA42" s="186">
        <f t="shared" si="108"/>
        <v>0</v>
      </c>
      <c r="AC42" s="187">
        <f t="shared" si="99"/>
        <v>0</v>
      </c>
      <c r="AD42" s="205"/>
      <c r="AE42" s="184">
        <f t="shared" si="100"/>
        <v>0</v>
      </c>
      <c r="AF42" s="205"/>
      <c r="AG42" s="184">
        <f t="shared" si="101"/>
        <v>0</v>
      </c>
      <c r="AH42" s="205"/>
      <c r="AI42" s="184">
        <f t="shared" si="102"/>
        <v>0</v>
      </c>
      <c r="AJ42" s="184">
        <f t="shared" si="102"/>
        <v>0</v>
      </c>
      <c r="AK42" s="184">
        <f t="shared" si="102"/>
        <v>0</v>
      </c>
      <c r="AL42" s="184">
        <f t="shared" si="102"/>
        <v>0</v>
      </c>
      <c r="AM42" s="184">
        <f t="shared" si="102"/>
        <v>0</v>
      </c>
      <c r="AN42" s="184">
        <f t="shared" si="102"/>
        <v>0</v>
      </c>
    </row>
    <row r="43" spans="1:40" ht="15.75" customHeight="1">
      <c r="A43" s="267"/>
      <c r="B43" s="270"/>
      <c r="C43" s="225" t="s">
        <v>228</v>
      </c>
      <c r="D43" s="184">
        <f t="shared" si="104"/>
        <v>0</v>
      </c>
      <c r="E43" s="205"/>
      <c r="F43" s="184">
        <f t="shared" si="105"/>
        <v>0</v>
      </c>
      <c r="G43" s="205"/>
      <c r="H43" s="218">
        <f t="shared" si="103"/>
        <v>0</v>
      </c>
      <c r="I43" s="205"/>
      <c r="J43" s="184">
        <f t="shared" ref="J43:O43" si="109">J37+J31</f>
        <v>0</v>
      </c>
      <c r="K43" s="184">
        <f t="shared" si="109"/>
        <v>0</v>
      </c>
      <c r="L43" s="184">
        <f t="shared" si="109"/>
        <v>0</v>
      </c>
      <c r="M43" s="184">
        <f t="shared" si="109"/>
        <v>0</v>
      </c>
      <c r="N43" s="184">
        <f t="shared" si="109"/>
        <v>0</v>
      </c>
      <c r="O43" s="206">
        <f t="shared" si="109"/>
        <v>0</v>
      </c>
      <c r="P43" s="207">
        <f t="shared" si="78"/>
        <v>0</v>
      </c>
      <c r="Q43" s="205"/>
      <c r="R43" s="186">
        <f t="shared" si="79"/>
        <v>0</v>
      </c>
      <c r="S43" s="208">
        <f t="shared" si="80"/>
        <v>0</v>
      </c>
      <c r="T43" s="186">
        <f t="shared" si="81"/>
        <v>0</v>
      </c>
      <c r="U43" s="205"/>
      <c r="V43" s="186">
        <f t="shared" si="82"/>
        <v>0</v>
      </c>
      <c r="W43" s="186">
        <f t="shared" si="83"/>
        <v>0</v>
      </c>
      <c r="X43" s="209">
        <f t="shared" si="107"/>
        <v>0</v>
      </c>
      <c r="Y43" s="205"/>
      <c r="Z43" s="186">
        <f t="shared" ref="Z43:AA43" si="110">Z37+Z31</f>
        <v>0</v>
      </c>
      <c r="AA43" s="186">
        <f t="shared" si="110"/>
        <v>0</v>
      </c>
      <c r="AC43" s="187">
        <f t="shared" si="99"/>
        <v>0</v>
      </c>
      <c r="AD43" s="205"/>
      <c r="AE43" s="184">
        <f t="shared" si="100"/>
        <v>0</v>
      </c>
      <c r="AF43" s="205"/>
      <c r="AG43" s="184">
        <f t="shared" si="101"/>
        <v>0</v>
      </c>
      <c r="AH43" s="205"/>
      <c r="AI43" s="184">
        <f t="shared" si="102"/>
        <v>0</v>
      </c>
      <c r="AJ43" s="184">
        <f t="shared" si="102"/>
        <v>0</v>
      </c>
      <c r="AK43" s="184">
        <f t="shared" si="102"/>
        <v>0</v>
      </c>
      <c r="AL43" s="184">
        <f t="shared" si="102"/>
        <v>0</v>
      </c>
      <c r="AM43" s="184">
        <f t="shared" si="102"/>
        <v>0</v>
      </c>
      <c r="AN43" s="184">
        <f t="shared" si="102"/>
        <v>0</v>
      </c>
    </row>
    <row r="44" spans="1:40" ht="15.75" customHeight="1">
      <c r="A44" s="267"/>
      <c r="B44" s="270"/>
      <c r="C44" s="204" t="s">
        <v>9</v>
      </c>
      <c r="D44" s="184">
        <f t="shared" si="104"/>
        <v>0</v>
      </c>
      <c r="E44" s="205"/>
      <c r="F44" s="184">
        <f>F38+F32</f>
        <v>0</v>
      </c>
      <c r="G44" s="205"/>
      <c r="H44" s="218">
        <f t="shared" si="103"/>
        <v>0</v>
      </c>
      <c r="I44" s="205"/>
      <c r="J44" s="184">
        <f t="shared" ref="J44:O44" si="111">J38+J32</f>
        <v>0</v>
      </c>
      <c r="K44" s="184">
        <f t="shared" si="111"/>
        <v>0</v>
      </c>
      <c r="L44" s="184">
        <f t="shared" si="111"/>
        <v>0</v>
      </c>
      <c r="M44" s="184">
        <f t="shared" si="111"/>
        <v>0</v>
      </c>
      <c r="N44" s="184">
        <f t="shared" si="111"/>
        <v>0</v>
      </c>
      <c r="O44" s="206">
        <f t="shared" si="111"/>
        <v>0</v>
      </c>
      <c r="P44" s="186">
        <f t="shared" si="78"/>
        <v>0</v>
      </c>
      <c r="Q44" s="205"/>
      <c r="R44" s="186">
        <f t="shared" si="79"/>
        <v>0</v>
      </c>
      <c r="S44" s="208">
        <f t="shared" si="80"/>
        <v>0</v>
      </c>
      <c r="T44" s="186">
        <f t="shared" si="81"/>
        <v>0</v>
      </c>
      <c r="U44" s="205"/>
      <c r="V44" s="186">
        <f t="shared" si="82"/>
        <v>0</v>
      </c>
      <c r="W44" s="186">
        <f t="shared" si="83"/>
        <v>0</v>
      </c>
      <c r="X44" s="209">
        <f t="shared" si="107"/>
        <v>0</v>
      </c>
      <c r="Y44" s="205"/>
      <c r="Z44" s="186">
        <f t="shared" ref="Z44:AA44" si="112">Z38+Z32</f>
        <v>0</v>
      </c>
      <c r="AA44" s="186">
        <f t="shared" si="112"/>
        <v>0</v>
      </c>
      <c r="AC44" s="187">
        <f t="shared" si="99"/>
        <v>0</v>
      </c>
      <c r="AD44" s="205"/>
      <c r="AE44" s="184">
        <f t="shared" si="100"/>
        <v>0</v>
      </c>
      <c r="AF44" s="205"/>
      <c r="AG44" s="184">
        <f t="shared" si="101"/>
        <v>0</v>
      </c>
      <c r="AH44" s="205"/>
      <c r="AI44" s="184">
        <f t="shared" si="102"/>
        <v>0</v>
      </c>
      <c r="AJ44" s="184">
        <f t="shared" si="102"/>
        <v>0</v>
      </c>
      <c r="AK44" s="184">
        <f t="shared" si="102"/>
        <v>0</v>
      </c>
      <c r="AL44" s="184">
        <f t="shared" si="102"/>
        <v>0</v>
      </c>
      <c r="AM44" s="184">
        <f t="shared" si="102"/>
        <v>0</v>
      </c>
      <c r="AN44" s="184">
        <f t="shared" si="102"/>
        <v>0</v>
      </c>
    </row>
    <row r="45" spans="1:40" ht="15.75" customHeight="1" thickBot="1">
      <c r="A45" s="272"/>
      <c r="B45" s="271"/>
      <c r="C45" s="210" t="s">
        <v>53</v>
      </c>
      <c r="D45" s="211">
        <f t="shared" si="104"/>
        <v>0</v>
      </c>
      <c r="E45" s="212"/>
      <c r="F45" s="211">
        <f>F39+F33</f>
        <v>0</v>
      </c>
      <c r="G45" s="212"/>
      <c r="H45" s="211">
        <f>H39+H33</f>
        <v>0</v>
      </c>
      <c r="I45" s="212"/>
      <c r="J45" s="211">
        <f t="shared" ref="J45:O45" si="113">J39+J33</f>
        <v>0</v>
      </c>
      <c r="K45" s="211">
        <f t="shared" si="113"/>
        <v>0</v>
      </c>
      <c r="L45" s="211">
        <f t="shared" si="113"/>
        <v>0</v>
      </c>
      <c r="M45" s="211">
        <f t="shared" si="113"/>
        <v>0</v>
      </c>
      <c r="N45" s="211">
        <f t="shared" si="113"/>
        <v>0</v>
      </c>
      <c r="O45" s="213">
        <f t="shared" si="113"/>
        <v>0</v>
      </c>
      <c r="P45" s="193">
        <f t="shared" si="78"/>
        <v>0</v>
      </c>
      <c r="Q45" s="212"/>
      <c r="R45" s="193">
        <f t="shared" si="79"/>
        <v>0</v>
      </c>
      <c r="S45" s="215">
        <f t="shared" si="80"/>
        <v>0</v>
      </c>
      <c r="T45" s="193">
        <f t="shared" si="81"/>
        <v>0</v>
      </c>
      <c r="U45" s="212"/>
      <c r="V45" s="193">
        <f t="shared" si="82"/>
        <v>0</v>
      </c>
      <c r="W45" s="193">
        <f t="shared" si="83"/>
        <v>0</v>
      </c>
      <c r="X45" s="216">
        <f>X39+X33</f>
        <v>0</v>
      </c>
      <c r="Y45" s="212"/>
      <c r="Z45" s="193">
        <f>Z39+Z33</f>
        <v>0</v>
      </c>
      <c r="AA45" s="193">
        <f>AA39+AA33</f>
        <v>0</v>
      </c>
      <c r="AC45" s="217">
        <f t="shared" si="99"/>
        <v>0</v>
      </c>
      <c r="AD45" s="212"/>
      <c r="AE45" s="211">
        <f t="shared" si="100"/>
        <v>0</v>
      </c>
      <c r="AF45" s="212"/>
      <c r="AG45" s="211">
        <f t="shared" si="101"/>
        <v>0</v>
      </c>
      <c r="AH45" s="212"/>
      <c r="AI45" s="211">
        <f t="shared" si="102"/>
        <v>0</v>
      </c>
      <c r="AJ45" s="211">
        <f t="shared" si="102"/>
        <v>0</v>
      </c>
      <c r="AK45" s="211">
        <f t="shared" si="102"/>
        <v>0</v>
      </c>
      <c r="AL45" s="211">
        <f t="shared" si="102"/>
        <v>0</v>
      </c>
      <c r="AM45" s="211">
        <f t="shared" si="102"/>
        <v>0</v>
      </c>
      <c r="AN45" s="211">
        <f t="shared" si="102"/>
        <v>0</v>
      </c>
    </row>
  </sheetData>
  <mergeCells count="42">
    <mergeCell ref="AP1:AU1"/>
    <mergeCell ref="AP2:AU2"/>
    <mergeCell ref="A3:C5"/>
    <mergeCell ref="D3:O3"/>
    <mergeCell ref="M4:O4"/>
    <mergeCell ref="D4:I4"/>
    <mergeCell ref="J4:L4"/>
    <mergeCell ref="AC3:AN3"/>
    <mergeCell ref="AC2:AN2"/>
    <mergeCell ref="D2:O2"/>
    <mergeCell ref="T4:U4"/>
    <mergeCell ref="T3:W3"/>
    <mergeCell ref="X3:AA3"/>
    <mergeCell ref="X4:Y4"/>
    <mergeCell ref="P3:S3"/>
    <mergeCell ref="P4:Q4"/>
    <mergeCell ref="A28:A33"/>
    <mergeCell ref="B28:B45"/>
    <mergeCell ref="A34:A39"/>
    <mergeCell ref="A40:A45"/>
    <mergeCell ref="A6:A11"/>
    <mergeCell ref="A12:A17"/>
    <mergeCell ref="A18:A23"/>
    <mergeCell ref="B6:B23"/>
    <mergeCell ref="A25:C27"/>
    <mergeCell ref="J26:L26"/>
    <mergeCell ref="D26:I26"/>
    <mergeCell ref="D25:O25"/>
    <mergeCell ref="M26:O26"/>
    <mergeCell ref="P26:Q26"/>
    <mergeCell ref="AL4:AN4"/>
    <mergeCell ref="AL26:AN26"/>
    <mergeCell ref="AI4:AK4"/>
    <mergeCell ref="AI26:AK26"/>
    <mergeCell ref="AC26:AH26"/>
    <mergeCell ref="AC4:AH4"/>
    <mergeCell ref="AC25:AN25"/>
    <mergeCell ref="T26:U26"/>
    <mergeCell ref="X25:AA25"/>
    <mergeCell ref="X26:Y26"/>
    <mergeCell ref="T25:W25"/>
    <mergeCell ref="P25:S25"/>
  </mergeCells>
  <pageMargins left="0.70866141732283472" right="0.70866141732283472" top="0.74803149606299213" bottom="0.74803149606299213" header="0.31496062992125984" footer="0.31496062992125984"/>
  <pageSetup paperSize="9" scale="78" orientation="landscape" r:id="rId1"/>
  <headerFooter>
    <oddFooter>&amp;R&amp;A</oddFooter>
  </headerFooter>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S37"/>
  <sheetViews>
    <sheetView showGridLines="0" zoomScaleNormal="100" zoomScaleSheetLayoutView="100" workbookViewId="0"/>
  </sheetViews>
  <sheetFormatPr defaultRowHeight="12.75"/>
  <cols>
    <col min="1" max="1" width="17.5703125" customWidth="1"/>
    <col min="2" max="3" width="14.42578125" customWidth="1"/>
    <col min="4" max="4" width="9.85546875" customWidth="1"/>
    <col min="5" max="5" width="12.140625" customWidth="1"/>
    <col min="6" max="6" width="11.42578125" customWidth="1"/>
    <col min="7" max="7" width="11" customWidth="1"/>
    <col min="8" max="8" width="10.5703125" customWidth="1"/>
    <col min="10" max="10" width="11" customWidth="1"/>
    <col min="12" max="12" width="10.5703125" customWidth="1"/>
    <col min="17" max="17" width="8.140625" hidden="1" customWidth="1"/>
  </cols>
  <sheetData>
    <row r="1" spans="1:17">
      <c r="A1" s="99"/>
      <c r="B1" s="99"/>
      <c r="C1" s="99"/>
      <c r="D1" s="99"/>
      <c r="E1" s="99"/>
      <c r="F1" s="99"/>
    </row>
    <row r="2" spans="1:17">
      <c r="A2" s="97" t="s">
        <v>188</v>
      </c>
      <c r="B2" s="96" t="s">
        <v>178</v>
      </c>
      <c r="C2" s="99"/>
      <c r="D2" s="99"/>
      <c r="E2" s="99"/>
      <c r="F2" s="99"/>
    </row>
    <row r="3" spans="1:17" s="99" customFormat="1">
      <c r="A3" s="100" t="s">
        <v>193</v>
      </c>
      <c r="B3" s="98"/>
    </row>
    <row r="5" spans="1:17" ht="13.5" thickBot="1">
      <c r="A5" s="81" t="s">
        <v>190</v>
      </c>
    </row>
    <row r="6" spans="1:17">
      <c r="A6" s="46"/>
      <c r="B6" s="293" t="s">
        <v>211</v>
      </c>
      <c r="C6" s="294"/>
      <c r="D6" s="294"/>
      <c r="E6" s="294"/>
      <c r="F6" s="294"/>
      <c r="G6" s="294"/>
      <c r="H6" s="294"/>
      <c r="I6" s="294"/>
      <c r="J6" s="294"/>
      <c r="K6" s="294"/>
      <c r="L6" s="294"/>
      <c r="M6" s="295"/>
    </row>
    <row r="7" spans="1:17">
      <c r="A7" s="48"/>
      <c r="B7" s="296" t="s">
        <v>3</v>
      </c>
      <c r="C7" s="296"/>
      <c r="D7" s="296"/>
      <c r="E7" s="296"/>
      <c r="F7" s="296"/>
      <c r="G7" s="296"/>
      <c r="H7" s="289" t="s">
        <v>4</v>
      </c>
      <c r="I7" s="290"/>
      <c r="J7" s="290"/>
      <c r="K7" s="290"/>
      <c r="L7" s="290"/>
      <c r="M7" s="297" t="s">
        <v>215</v>
      </c>
    </row>
    <row r="8" spans="1:17" ht="18" customHeight="1">
      <c r="A8" s="48"/>
      <c r="B8" s="300" t="s">
        <v>6</v>
      </c>
      <c r="C8" s="302" t="s">
        <v>6</v>
      </c>
      <c r="D8" s="303"/>
      <c r="E8" s="304" t="s">
        <v>7</v>
      </c>
      <c r="F8" s="291" t="s">
        <v>8</v>
      </c>
      <c r="G8" s="291" t="s">
        <v>48</v>
      </c>
      <c r="H8" s="291" t="s">
        <v>6</v>
      </c>
      <c r="I8" s="291" t="s">
        <v>49</v>
      </c>
      <c r="J8" s="289" t="s">
        <v>49</v>
      </c>
      <c r="K8" s="290"/>
      <c r="L8" s="291" t="s">
        <v>48</v>
      </c>
      <c r="M8" s="298"/>
    </row>
    <row r="9" spans="1:17" ht="66" customHeight="1">
      <c r="A9" s="48"/>
      <c r="B9" s="301"/>
      <c r="C9" s="50" t="s">
        <v>54</v>
      </c>
      <c r="D9" s="50" t="s">
        <v>50</v>
      </c>
      <c r="E9" s="305"/>
      <c r="F9" s="292"/>
      <c r="G9" s="292"/>
      <c r="H9" s="292"/>
      <c r="I9" s="292"/>
      <c r="J9" s="50" t="s">
        <v>51</v>
      </c>
      <c r="K9" s="50" t="s">
        <v>8</v>
      </c>
      <c r="L9" s="292"/>
      <c r="M9" s="299"/>
      <c r="Q9" s="85" t="s">
        <v>189</v>
      </c>
    </row>
    <row r="10" spans="1:17">
      <c r="A10" s="86"/>
      <c r="B10" s="88">
        <v>1</v>
      </c>
      <c r="C10" s="88">
        <f t="shared" ref="C10:L10" si="0">B10+1</f>
        <v>2</v>
      </c>
      <c r="D10" s="88">
        <f t="shared" si="0"/>
        <v>3</v>
      </c>
      <c r="E10" s="88">
        <f t="shared" si="0"/>
        <v>4</v>
      </c>
      <c r="F10" s="88">
        <f t="shared" si="0"/>
        <v>5</v>
      </c>
      <c r="G10" s="88">
        <f t="shared" si="0"/>
        <v>6</v>
      </c>
      <c r="H10" s="88">
        <f t="shared" si="0"/>
        <v>7</v>
      </c>
      <c r="I10" s="88">
        <f t="shared" si="0"/>
        <v>8</v>
      </c>
      <c r="J10" s="88">
        <f t="shared" si="0"/>
        <v>9</v>
      </c>
      <c r="K10" s="88">
        <f t="shared" si="0"/>
        <v>10</v>
      </c>
      <c r="L10" s="88">
        <f t="shared" si="0"/>
        <v>11</v>
      </c>
      <c r="M10" s="87">
        <f t="shared" ref="M10" si="1">L10+1</f>
        <v>12</v>
      </c>
      <c r="Q10" t="s">
        <v>179</v>
      </c>
    </row>
    <row r="11" spans="1:17">
      <c r="A11" s="47"/>
      <c r="B11" s="89"/>
      <c r="C11" s="89"/>
      <c r="D11" s="89"/>
      <c r="E11" s="89"/>
      <c r="F11" s="89"/>
      <c r="G11" s="89"/>
      <c r="H11" s="89"/>
      <c r="I11" s="89"/>
      <c r="J11" s="89"/>
      <c r="K11" s="89"/>
      <c r="L11" s="89"/>
      <c r="M11" s="90"/>
      <c r="Q11" t="s">
        <v>214</v>
      </c>
    </row>
    <row r="12" spans="1:17">
      <c r="A12" s="114" t="s">
        <v>52</v>
      </c>
      <c r="B12" s="91" t="e">
        <f>IF($B$2="15-24",((Result_summary!P23)/(Result_summary!$P23+Result_summary!$R23+Result_summary!$S23+Result_summary!$P45+Result_summary!$R45+Result_summary!$S45)*100), IF($B$2="15-29",((Result_summary!T23)/(Result_summary!$T23+Result_summary!$V23+Result_summary!$W23+Result_summary!$T45+Result_summary!$V45+Result_summary!$W45)*100),IF($B$2="15-19",((Result_summary!D23)/(Result_summary!$D23+Result_summary!$J23+Result_summary!$M23+Result_summary!$D45+Result_summary!$J45+Result_summary!$M45)*100),IF($B$2="20-24",((Result_summary!F23)/(Result_summary!$F23+Result_summary!$K23+Result_summary!$N23+Result_summary!$F45+Result_summary!$K45+Result_summary!$N45)*100),IF($B$2="25-29",((Result_summary!H23)/(Result_summary!$H23+Result_summary!$L23+Result_summary!$O23+Result_summary!$H45+Result_summary!$L45+Result_summary!$O45)*100),IF($B$2="18-24",((Result_summary!X23)/(Result_summary!$X23+Result_summary!$Z23+Result_summary!$AA23+Result_summary!$X45+Result_summary!$Z45+Result_summary!$AA45)*100)))))))</f>
        <v>#DIV/0!</v>
      </c>
      <c r="C12" s="91" t="e">
        <f>IF($B$2="15-24",((Result_summary!Q23)/(Result_summary!$P23+Result_summary!$R23+Result_summary!$S23+Result_summary!$P45+Result_summary!$R45+Result_summary!$S45)*100),IF($B$2="15-29",((Result_summary!U23)/(Result_summary!$T23+Result_summary!$V23+Result_summary!$W23+Result_summary!$T45+Result_summary!$V45+Result_summary!$W45)*100),IF($B$2="15-19",((Result_summary!E23)/(Result_summary!$D23+Result_summary!$J23+Result_summary!$M23+Result_summary!$D45+Result_summary!$J45+Result_summary!$M45)*100),IF($B$2="20-24",((Result_summary!G23)/(Result_summary!$F23+Result_summary!$K23+Result_summary!$N23+Result_summary!$F45+Result_summary!$K45+Result_summary!$N45)*100),IF($B$2="25-29",((Result_summary!I23)/(Result_summary!$H23+Result_summary!$L23+Result_summary!$O23+Result_summary!$H45+Result_summary!$L45+Result_summary!$O45)*100),IF($B$2="18-24",((Result_summary!Y23)/(Result_summary!$X23+Result_summary!$Z23+Result_summary!$AA23+Result_summary!$X45+Result_summary!$Z45+Result_summary!$AA45)*100)))))))</f>
        <v>#DIV/0!</v>
      </c>
      <c r="D12" s="91" t="e">
        <f>B12-C12</f>
        <v>#DIV/0!</v>
      </c>
      <c r="E12" s="91" t="e">
        <f>IF($B$2="15-24",((Result_summary!R23)/(Result_summary!$P23+Result_summary!$R23+Result_summary!$S23+Result_summary!$P45+Result_summary!$R45+Result_summary!$S45)*100), IF($B$2="15-29",((Result_summary!V23)/(Result_summary!$T23+Result_summary!$V23+Result_summary!$W23+Result_summary!$T45+Result_summary!$V45+Result_summary!$W45)*100),
IF($B$2="15-19",((Result_summary!J23)/(Result_summary!$D23+Result_summary!$J23+Result_summary!$M23+Result_summary!$D45+Result_summary!$J45+Result_summary!$M45)*100),IF($B$2="20-24",((Result_summary!K23)/(Result_summary!$F23+Result_summary!$K23+Result_summary!$N23+Result_summary!$F45+Result_summary!$K45+Result_summary!$N45)*100),IF($B$2="25-29",((Result_summary!L23)/(Result_summary!$H23+Result_summary!$L23+Result_summary!$O23+Result_summary!$H45+Result_summary!$L45+Result_summary!$O45)*100),IF($B$2="18-24",((Result_summary!Z23)/(Result_summary!$X23+Result_summary!$Z23+Result_summary!$AA23+Result_summary!$X45+Result_summary!$Z45+Result_summary!$AA45)*100)))))))</f>
        <v>#DIV/0!</v>
      </c>
      <c r="F12" s="91" t="e">
        <f>IF($B$2="15-24",((Result_summary!S23)/(Result_summary!$P23+Result_summary!$R23+Result_summary!$S23+Result_summary!$P45+Result_summary!$R45+Result_summary!$S45)*100), IF($B$2="15-29",((Result_summary!W23)/(Result_summary!$T23+Result_summary!$V23+Result_summary!$W23+Result_summary!$T45+Result_summary!$V45+Result_summary!$W45)*100),IF($B$2="15-19",((Result_summary!M23)/(Result_summary!$D23+Result_summary!$J23+Result_summary!$M23+Result_summary!$D45+Result_summary!$J45+Result_summary!$M45)*100),IF($B$2="20-24",((Result_summary!N23)/(Result_summary!$F23+Result_summary!$K23+Result_summary!$N23+Result_summary!$F45+Result_summary!$K45+Result_summary!$N45)*100),IF($B$2="25-29",((Result_summary!O23)/(Result_summary!$H23+Result_summary!$L23+Result_summary!$O23+Result_summary!$H45+Result_summary!$L45+Result_summary!$O45)*100),IF($B$2="18-24",((Result_summary!AA23)/(Result_summary!$X23+Result_summary!$Z23+Result_summary!$AA23+Result_summary!$X45+Result_summary!$Z45+Result_summary!$AA45)*100)))))))</f>
        <v>#DIV/0!</v>
      </c>
      <c r="G12" s="91" t="e">
        <f>B12+E12+F12</f>
        <v>#DIV/0!</v>
      </c>
      <c r="H12" s="91" t="e">
        <f>IF($B$2="15-24",((Result_summary!P45)/(Result_summary!$P23+Result_summary!$R23+Result_summary!$S23+Result_summary!$P45+Result_summary!$R45+Result_summary!$S45)*100), IF($B$2="15-29",((Result_summary!T45)/(Result_summary!$T23+Result_summary!$V23+Result_summary!$W23+Result_summary!$T45+Result_summary!$V45+Result_summary!$W45)*100),IF($B$2="15-19",((Result_summary!D45)/(Result_summary!$D23+Result_summary!$J23+Result_summary!$M23+Result_summary!$D45+Result_summary!$J45+Result_summary!$M45)*100),IF($B$2="20-24",((Result_summary!F45)/(Result_summary!$F23+Result_summary!$K23+Result_summary!$N23+Result_summary!$F45+Result_summary!$K45+Result_summary!$N45)*100),IF($B$2="25-29",((Result_summary!H45)/(Result_summary!$H23+Result_summary!$L23+Result_summary!$O23+Result_summary!$H45+Result_summary!$L45+Result_summary!$O45)*100),IF($B$2="18-24",((Result_summary!X45)/(Result_summary!$X23+Result_summary!$Z23+Result_summary!$AA23+Result_summary!$X45+Result_summary!$Z45+Result_summary!$AA45)*100)))))))</f>
        <v>#DIV/0!</v>
      </c>
      <c r="I12" s="91" t="e">
        <f>J12+K12</f>
        <v>#DIV/0!</v>
      </c>
      <c r="J12" s="91" t="e">
        <f>IF($B$2="15-24",((Result_summary!R45)/(Result_summary!$P23+Result_summary!$R23+Result_summary!$S23+Result_summary!$P45+Result_summary!$R45+Result_summary!$S45)*100), IF($B$2="15-29",((Result_summary!V45)/(Result_summary!$T23+Result_summary!$V23+Result_summary!$W23+Result_summary!$T45+Result_summary!$V45+Result_summary!$W45)*100),IF($B$2="15-19",((Result_summary!J45)/(Result_summary!$D23+Result_summary!$J23+Result_summary!$M23+Result_summary!$D45+Result_summary!$J45+Result_summary!$M45)*100),IF($B$2="20-24",((Result_summary!K45)/(Result_summary!$F23+Result_summary!$K23+Result_summary!$N23+Result_summary!$F45+Result_summary!$K45+Result_summary!$N45)*100),IF($B$2="25-29",((Result_summary!L45)/(Result_summary!$H23+Result_summary!$L23+Result_summary!$O23+Result_summary!$H45+Result_summary!$L45+Result_summary!$O45)*100),IF($B$2="18-24",((Result_summary!Z45)/(Result_summary!$X23+Result_summary!$Z23+Result_summary!$AA23+Result_summary!$X45+Result_summary!$Z45+Result_summary!$AA45)*100)))))))</f>
        <v>#DIV/0!</v>
      </c>
      <c r="K12" s="91" t="e">
        <f>IF($B$2="15-24",((Result_summary!S45)/(Result_summary!$P23+Result_summary!$R23+Result_summary!$S23+Result_summary!$P45+Result_summary!$R45+Result_summary!$S45)*100), IF($B$2="15-29",((Result_summary!W45)/(Result_summary!$T23+Result_summary!$V23+Result_summary!$W23+Result_summary!$T45+Result_summary!$V45+Result_summary!$W45)*100),IF($B$2="15-19",((Result_summary!M45)/(Result_summary!$D23+Result_summary!$J23+Result_summary!$M23+Result_summary!$D45+Result_summary!$J45+Result_summary!$M45)*100),IF($B$2="20-24",((Result_summary!N45)/(Result_summary!$F23+Result_summary!$K23+Result_summary!$N23+Result_summary!$F45+Result_summary!$K45+Result_summary!$N45)*100),IF($B$2="25-29",((Result_summary!O45)/(Result_summary!$H23+Result_summary!$L23+Result_summary!$O23+Result_summary!$H45+Result_summary!$L45+Result_summary!$O45)*100),IF($B$2="18-24",((Result_summary!AA45)/(Result_summary!$X23+Result_summary!$Z23+Result_summary!$AA23+Result_summary!$X45+Result_summary!$Z45+Result_summary!$AA45)*100)))))))</f>
        <v>#DIV/0!</v>
      </c>
      <c r="L12" s="91" t="e">
        <f>H12+I12</f>
        <v>#DIV/0!</v>
      </c>
      <c r="M12" s="92" t="e">
        <f>L12+G12</f>
        <v>#DIV/0!</v>
      </c>
      <c r="Q12" t="s">
        <v>178</v>
      </c>
    </row>
    <row r="13" spans="1:17">
      <c r="A13" s="114" t="s">
        <v>40</v>
      </c>
      <c r="B13" s="91" t="e">
        <f>IF($B$2="15-24",((Result_summary!P11)/(Result_summary!$P11+Result_summary!$R11+Result_summary!$S11+Result_summary!$P33+Result_summary!$R33+Result_summary!$S33)*100), IF($B$2="15-29",((Result_summary!T11)/(Result_summary!$T11+Result_summary!$V11+Result_summary!$W11+Result_summary!$T33+Result_summary!$V33+Result_summary!$W33)*100),IF($B$2="15-19",((Result_summary!D11)/(Result_summary!$D11+Result_summary!$J11+Result_summary!$M11+Result_summary!$D33+Result_summary!$J33+Result_summary!$M33)*100),IF($B$2="20-24",((Result_summary!F11)/(Result_summary!$F11+Result_summary!$K11+Result_summary!$N11+Result_summary!$F33+Result_summary!$K33+Result_summary!$N33)*100),IF($B$2="25-29",((Result_summary!H11)/(Result_summary!$H11+Result_summary!$L11+Result_summary!$O11+Result_summary!$H33+Result_summary!$L33+Result_summary!$O33)*100),IF($B$2="18-24",((Result_summary!X11)/(Result_summary!$X11+Result_summary!$Z11+Result_summary!$AA11+Result_summary!$X33+Result_summary!$Z33+Result_summary!$AA33)*100)))))))</f>
        <v>#DIV/0!</v>
      </c>
      <c r="C13" s="91" t="e">
        <f>IF($B$2="15-24",((Result_summary!Q11)/(Result_summary!$P11+Result_summary!$R11+Result_summary!$S11+Result_summary!$P33+Result_summary!$R33+Result_summary!$S33)*100),IF($B$2="15-29",((Result_summary!U11)/(Result_summary!$T11+Result_summary!$V11+Result_summary!$W11+Result_summary!$T33+Result_summary!$V33+Result_summary!$W33)*100),IF($B$2="15-19",((Result_summary!E11)/(Result_summary!$D11+Result_summary!$J11+Result_summary!$M11+Result_summary!$D33+Result_summary!$J33+Result_summary!$M33)*100),IF($B$2="20-24",((Result_summary!G11)/(Result_summary!$F11+Result_summary!$K11+Result_summary!$N11+Result_summary!$F33+Result_summary!$K33+Result_summary!$N33)*100),IF($B$2="25-29",((Result_summary!I11)/(Result_summary!$H11+Result_summary!$L11+Result_summary!$O11+Result_summary!$H33+Result_summary!$L33+Result_summary!$O33)*100),IF($B$2="18-24",((Result_summary!Y11)/(Result_summary!$X11+Result_summary!$Z11+Result_summary!$AA11+Result_summary!$X33+Result_summary!$Z33+Result_summary!$AA33)*100)))))))</f>
        <v>#DIV/0!</v>
      </c>
      <c r="D13" s="91" t="e">
        <f t="shared" ref="D13:D14" si="2">B13-C13</f>
        <v>#DIV/0!</v>
      </c>
      <c r="E13" s="91" t="e">
        <f>IF($B$2="15-24",((Result_summary!R11)/(Result_summary!$P11+Result_summary!$R11+Result_summary!$S11+Result_summary!$P33+Result_summary!$R33+Result_summary!$S33)*100), IF($B$2="15-29",((Result_summary!V11)/(Result_summary!$T11+Result_summary!$V11+Result_summary!$W11+Result_summary!$T33+Result_summary!$V33+Result_summary!$W33)*100),IF($B$2="15-19",((Result_summary!J11)/(Result_summary!$D11+Result_summary!$J11+Result_summary!$M11+Result_summary!$D33+Result_summary!$J33+Result_summary!$M33)*100),IF($B$2="20-24",((Result_summary!K11)/(Result_summary!$F11+Result_summary!$K11+Result_summary!$N11+Result_summary!$F33+Result_summary!$K33+Result_summary!$N33)*100),IF($B$2="25-29",((Result_summary!L11)/(Result_summary!$H11+Result_summary!$L11+Result_summary!$O11+Result_summary!$H33+Result_summary!$L33+Result_summary!$O33)*100),IF($B$2="18-24",((Result_summary!Z11)/(Result_summary!$X11+Result_summary!$Z11+Result_summary!$AA11+Result_summary!$X33+Result_summary!$Z33+Result_summary!$AA33)*100)))))))</f>
        <v>#DIV/0!</v>
      </c>
      <c r="F13" s="91" t="e">
        <f>IF($B$2="15-24",((Result_summary!S11)/(Result_summary!$P11+Result_summary!$R11+Result_summary!$S11+Result_summary!$P33+Result_summary!$R33+Result_summary!$S33)*100),IF($B$2="15-29",((Result_summary!W11)/(Result_summary!$T11+Result_summary!$V11+Result_summary!$W11+Result_summary!$T33+Result_summary!$V33+Result_summary!$W33)*100),IF($B$2="15-19",((Result_summary!M11)/(Result_summary!$D11+Result_summary!$J11+Result_summary!$M11+Result_summary!$D33+Result_summary!$J33+Result_summary!$M33)*100),IF($B$2="20-24",((Result_summary!N11)/(Result_summary!$F11+Result_summary!$K11+Result_summary!$N11+Result_summary!$F33+Result_summary!$K33+Result_summary!$N33)*100),IF($B$2="25-29",((Result_summary!O11)/(Result_summary!$H11+Result_summary!$L11+Result_summary!$O11+Result_summary!$H33+Result_summary!$L33+Result_summary!$O33)*100),IF($B$2="18-24",((Result_summary!AA11)/(Result_summary!$X11+Result_summary!$Z11+Result_summary!$AA11+Result_summary!$X33+Result_summary!$Z33+Result_summary!$AA33)*100)))))))</f>
        <v>#DIV/0!</v>
      </c>
      <c r="G13" s="91" t="e">
        <f t="shared" ref="G13:G14" si="3">B13+E13+F13</f>
        <v>#DIV/0!</v>
      </c>
      <c r="H13" s="91" t="e">
        <f>IF($B$2="15-24",((Result_summary!P33)/(Result_summary!$P11+Result_summary!$R11+Result_summary!$S11+Result_summary!$P33+Result_summary!$R33+Result_summary!$S33)*100), IF($B$2="15-29",((Result_summary!T33)/(Result_summary!$T11+Result_summary!$V11+Result_summary!$W11+Result_summary!$T33+Result_summary!$V33+Result_summary!$W33)*100),IF($B$2="15-19",((Result_summary!D33)/(Result_summary!$D11+Result_summary!$J11+Result_summary!$M11+Result_summary!$D33+Result_summary!$J33+Result_summary!$M33)*100),IF($B$2="20-24",((Result_summary!F33)/(Result_summary!$F11+Result_summary!$K11+Result_summary!$N11+Result_summary!$F33+Result_summary!$K33+Result_summary!$N33)*100),IF($B$2="25-29",((Result_summary!H33)/(Result_summary!$H11+Result_summary!$L11+Result_summary!$O11+Result_summary!$H33+Result_summary!$L33+Result_summary!$O33)*100),IF($B$2="18-24",((Result_summary!X33)/(Result_summary!$X11+Result_summary!$Z11+Result_summary!$AA11+Result_summary!$X33+Result_summary!$Z33+Result_summary!$AA33)*100)))))))</f>
        <v>#DIV/0!</v>
      </c>
      <c r="I13" s="91" t="e">
        <f t="shared" ref="I13:I14" si="4">J13+K13</f>
        <v>#DIV/0!</v>
      </c>
      <c r="J13" s="91" t="e">
        <f>IF($B$2="15-24",((Result_summary!R33)/(Result_summary!$P11+Result_summary!$R11+Result_summary!$S11+Result_summary!$P33+Result_summary!$R33+Result_summary!$S33)*100), IF($B$2="15-29",((Result_summary!V33)/(Result_summary!$T11+Result_summary!$V11+Result_summary!$W11+Result_summary!$T33+Result_summary!$V33+Result_summary!$W33)*100),IF($B$2="15-19",((Result_summary!J33)/(Result_summary!$D11+Result_summary!$J11+Result_summary!$M11+Result_summary!$D33+Result_summary!$J33+Result_summary!$M33)*100),IF($B$2="20-24",((Result_summary!K33)/(Result_summary!$F11+Result_summary!$K11+Result_summary!$N11+Result_summary!$F33+Result_summary!$K33+Result_summary!$N33)*100),IF($B$2="25-29",((Result_summary!L33)/(Result_summary!$H11+Result_summary!$L11+Result_summary!$O11+Result_summary!$H33+Result_summary!$L33+Result_summary!$O33)*100),IF($B$2="18-24",((Result_summary!Z33)/(Result_summary!$X11+Result_summary!$Z11+Result_summary!$AA11+Result_summary!$X33+Result_summary!$Z33+Result_summary!$AA33)*100)))))))</f>
        <v>#DIV/0!</v>
      </c>
      <c r="K13" s="91" t="e">
        <f>IF($B$2="15-24",((Result_summary!S33)/(Result_summary!$P11+Result_summary!$R11+Result_summary!$S11+Result_summary!$P33+Result_summary!$R33+Result_summary!$S33)*100),IF($B$2="15-29",((Result_summary!W33)/(Result_summary!$T11+Result_summary!$V11+Result_summary!$W11+Result_summary!$T33+Result_summary!$V33+Result_summary!$W33)*100),IF($B$2="15-19",((Result_summary!M33)/(Result_summary!$D11+Result_summary!$J11+Result_summary!$M11+Result_summary!$D33+Result_summary!$J33+Result_summary!$M33)*100),IF($B$2="20-24",((Result_summary!N33)/(Result_summary!$F11+Result_summary!$K11+Result_summary!$N11+Result_summary!$F33+Result_summary!$K33+Result_summary!$N33)*100),IF($B$2="25-29",((Result_summary!O33)/(Result_summary!$H11+Result_summary!$L11+Result_summary!$O11+Result_summary!$H33+Result_summary!$L33+Result_summary!$O33)*100),IF($B$2="18-24",((Result_summary!AA33)/(Result_summary!$X11+Result_summary!$Z11+Result_summary!$AA11+Result_summary!$X33+Result_summary!$Z33+Result_summary!$AA33)*100)))))))</f>
        <v>#DIV/0!</v>
      </c>
      <c r="L13" s="91" t="e">
        <f t="shared" ref="L13:L14" si="5">H13+I13</f>
        <v>#DIV/0!</v>
      </c>
      <c r="M13" s="92" t="e">
        <f t="shared" ref="M13:M14" si="6">L13+G13</f>
        <v>#DIV/0!</v>
      </c>
      <c r="Q13" t="s">
        <v>0</v>
      </c>
    </row>
    <row r="14" spans="1:17" ht="13.5" thickBot="1">
      <c r="A14" s="49" t="s">
        <v>39</v>
      </c>
      <c r="B14" s="93" t="e">
        <f>IF($B$2="15-24",((Result_summary!P17)/(Result_summary!$P17+Result_summary!$R17+Result_summary!$S17+Result_summary!$P39+Result_summary!$R39+Result_summary!$S39)*100),IF($B$2="15-29",((Result_summary!T17)/(Result_summary!$T17+Result_summary!$V17+Result_summary!$W17+Result_summary!$T39+Result_summary!$V39+Result_summary!$W39)*100),IF($B$2="15-19",((Result_summary!D17)/(Result_summary!$D17+Result_summary!$J17+Result_summary!$M17+Result_summary!$D39+Result_summary!$J39+Result_summary!$M39)*100),IF($B$2="20-24",((Result_summary!F17)/(Result_summary!$F17+Result_summary!$K17+Result_summary!$N17+Result_summary!$F39+Result_summary!$K39+Result_summary!$N39)*100),IF($B$2="25-29",((Result_summary!H17)/(Result_summary!$H17+Result_summary!$L17+Result_summary!$O17+Result_summary!$H39+Result_summary!$L39+Result_summary!$O39)*100),IF($B$2="18-24",((Result_summary!X17)/(Result_summary!$X17+Result_summary!$Z17+Result_summary!$AA17+Result_summary!$X39+Result_summary!$Z39+Result_summary!$AA39)*100)))))))</f>
        <v>#DIV/0!</v>
      </c>
      <c r="C14" s="93" t="e">
        <f>IF($B$2="15-24",((Result_summary!Q17)/(Result_summary!$P17+Result_summary!$R17+Result_summary!$S17+Result_summary!$P39+Result_summary!$R39+Result_summary!$S39)*100),IF($B$2="15-29",((Result_summary!U17)/(Result_summary!$T17+Result_summary!$V17+Result_summary!$W17+Result_summary!$T39+Result_summary!$V39+Result_summary!$W39)*100),IF($B$2="15-19",((Result_summary!E17)/(Result_summary!$D17+Result_summary!$J17+Result_summary!$M17+Result_summary!$D39+Result_summary!$J39+Result_summary!$M39)*100),IF($B$2="20-24",((Result_summary!G17)/(Result_summary!$F17+Result_summary!$K17+Result_summary!$N17+Result_summary!$F39+Result_summary!$K39+Result_summary!$N39)*100),IF($B$2="25-29",((Result_summary!I17)/(Result_summary!$H17+Result_summary!$L17+Result_summary!$O17+Result_summary!$H39+Result_summary!$L39+Result_summary!$O39)*100),IF($B$2="18-24",((Result_summary!Y17)/(Result_summary!$X17+Result_summary!$Z17+Result_summary!$AA17+Result_summary!$X39+Result_summary!$Z39+Result_summary!$AA39)*100)))))))</f>
        <v>#DIV/0!</v>
      </c>
      <c r="D14" s="94" t="e">
        <f t="shared" si="2"/>
        <v>#DIV/0!</v>
      </c>
      <c r="E14" s="93" t="e">
        <f>IF($B$2="15-24",((Result_summary!R17)/(Result_summary!$P17+Result_summary!$R17+Result_summary!$S17+Result_summary!$P39+Result_summary!$R39+Result_summary!$S39)*100),IF($B$2="15-29",((Result_summary!V17)/(Result_summary!$T17+Result_summary!$V17+Result_summary!$W17+Result_summary!$T39+Result_summary!$V39+Result_summary!$W39)*100),IF($B$2="15-19",((Result_summary!J17)/(Result_summary!$D17+Result_summary!$J17+Result_summary!$M17+Result_summary!$D39+Result_summary!$J39+Result_summary!$M39)*100),IF($B$2="20-24",((Result_summary!K17)/(Result_summary!$F17+Result_summary!$K17+Result_summary!$N17+Result_summary!$F39+Result_summary!$K39+Result_summary!$N39)*100),IF($B$2="25-29",((Result_summary!L17)/(Result_summary!$H17+Result_summary!$L17+Result_summary!$O17+Result_summary!$H39+Result_summary!$L39+Result_summary!$O39)*100),IF($B$2="18-24",((Result_summary!Z17)/(Result_summary!$X17+Result_summary!$Z17+Result_summary!$AA17+Result_summary!$X39+Result_summary!$Z39+Result_summary!$AA39)*100)))))))</f>
        <v>#DIV/0!</v>
      </c>
      <c r="F14" s="93" t="e">
        <f>IF($B$2="15-24",((Result_summary!S17)/(Result_summary!$P17+Result_summary!$R17+Result_summary!$S17+Result_summary!$P39+Result_summary!$R39+Result_summary!$S39)*100),IF($B$2="15-29",((Result_summary!W17)/(Result_summary!$T17+Result_summary!$V17+Result_summary!$W17+Result_summary!$T39+Result_summary!$V39+Result_summary!$W39)*100),IF($B$2="15-19",((Result_summary!M17)/(Result_summary!$D17+Result_summary!$J17+Result_summary!$M17+Result_summary!$D39+Result_summary!$J39+Result_summary!$M39)*100),IF($B$2="20-24",((Result_summary!N17)/(Result_summary!$F17+Result_summary!$K17+Result_summary!$N17+Result_summary!$F39+Result_summary!$K39+Result_summary!$N39)*100),IF($B$2="25-29",((Result_summary!O17)/(Result_summary!$H17+Result_summary!$L17+Result_summary!$O17+Result_summary!$H39+Result_summary!$L39+Result_summary!$O39)*100),IF($B$2="18-24",((Result_summary!AA17)/(Result_summary!$X17+Result_summary!$Z17+Result_summary!$AA17+Result_summary!$X39+Result_summary!$Z39+Result_summary!$AA39)*100)))))))</f>
        <v>#DIV/0!</v>
      </c>
      <c r="G14" s="93" t="e">
        <f t="shared" si="3"/>
        <v>#DIV/0!</v>
      </c>
      <c r="H14" s="93" t="e">
        <f>IF($B$2="15-24",((Result_summary!P39)/(Result_summary!$P17+Result_summary!$R17+Result_summary!$S17+Result_summary!$P39+Result_summary!$R39+Result_summary!$S39)*100),IF($B$2="15-29",((Result_summary!T39)/(Result_summary!$T17+Result_summary!$V17+Result_summary!$W17+Result_summary!$T39+Result_summary!$V39+Result_summary!$W39)*100),IF($B$2="15-19",((Result_summary!D39)/(Result_summary!$D17+Result_summary!$J17+Result_summary!$M17+Result_summary!$D39+Result_summary!$J39+Result_summary!$M39)*100),IF($B$2="20-24",((Result_summary!F39)/(Result_summary!$F17+Result_summary!$K17+Result_summary!$N17+Result_summary!$F39+Result_summary!$K39+Result_summary!$N39)*100),IF($B$2="25-29",((Result_summary!H39)/(Result_summary!$H17+Result_summary!$L17+Result_summary!$O17+Result_summary!$H39+Result_summary!$L39+Result_summary!$O39)*100),IF($B$2="18-24",((Result_summary!X39)/(Result_summary!$X17+Result_summary!$Z17+Result_summary!$AA17+Result_summary!$X39+Result_summary!$Z39+Result_summary!$AA39)*100)))))))</f>
        <v>#DIV/0!</v>
      </c>
      <c r="I14" s="93" t="e">
        <f t="shared" si="4"/>
        <v>#DIV/0!</v>
      </c>
      <c r="J14" s="93" t="e">
        <f>IF($B$2="15-24",((Result_summary!R39)/(Result_summary!$P17+Result_summary!$R17+Result_summary!$S17+Result_summary!$P39+Result_summary!$R39+Result_summary!$S39)*100),IF($B$2="15-29",((Result_summary!V39)/(Result_summary!$T17+Result_summary!$V17+Result_summary!$W17+Result_summary!$T39+Result_summary!$V39+Result_summary!$W39)*100),IF($B$2="15-19",((Result_summary!J39)/(Result_summary!$D17+Result_summary!$J17+Result_summary!$M17+Result_summary!$D39+Result_summary!$J39+Result_summary!$M39)*100),IF($B$2="20-24",((Result_summary!K39)/(Result_summary!$F17+Result_summary!$K17+Result_summary!$N17+Result_summary!$F39+Result_summary!$K39+Result_summary!$N39)*100),IF($B$2="25-29",((Result_summary!L39)/(Result_summary!$H17+Result_summary!$L17+Result_summary!$O17+Result_summary!$H39+Result_summary!$L39+Result_summary!$O39)*100),IF($B$2="18-24",((Result_summary!Z39)/(Result_summary!$X17+Result_summary!$Z17+Result_summary!$AA17+Result_summary!$X39+Result_summary!$Z39+Result_summary!$AA39)*100)))))))</f>
        <v>#DIV/0!</v>
      </c>
      <c r="K14" s="93" t="e">
        <f>IF($B$2="15-24",((Result_summary!S39)/(Result_summary!$P17+Result_summary!$R17+Result_summary!$S17+Result_summary!$P39+Result_summary!$R39+Result_summary!$S39)*100), IF($B$2="15-29",((Result_summary!W39)/(Result_summary!$T17+Result_summary!$V17+Result_summary!$W17+Result_summary!$T39+Result_summary!$V39+Result_summary!$W39)*100),IF($B$2="15-19",((Result_summary!M39)/(Result_summary!$D17+Result_summary!$J17+Result_summary!$M17+Result_summary!$D39+Result_summary!$J39+Result_summary!$M39)*100),IF($B$2="20-24",((Result_summary!N39)/(Result_summary!$F17+Result_summary!$K17+Result_summary!$N17+Result_summary!$F39+Result_summary!$K39+Result_summary!$N39)*100),IF($B$2="25-29",((Result_summary!O39)/(Result_summary!$H17+Result_summary!$L17+Result_summary!$O17+Result_summary!$H39+Result_summary!$L39+Result_summary!$O39)*100),IF($B$2="18-24",((Result_summary!AA39)/(Result_summary!$X17+Result_summary!$Z17+Result_summary!$AA17+Result_summary!$X39+Result_summary!$Z39+Result_summary!$AA39)*100)))))))</f>
        <v>#DIV/0!</v>
      </c>
      <c r="L14" s="93" t="e">
        <f t="shared" si="5"/>
        <v>#DIV/0!</v>
      </c>
      <c r="M14" s="95" t="e">
        <f t="shared" si="6"/>
        <v>#DIV/0!</v>
      </c>
      <c r="Q14" t="s">
        <v>1</v>
      </c>
    </row>
    <row r="15" spans="1:17" s="19" customFormat="1">
      <c r="A15" s="24"/>
      <c r="B15" s="116"/>
      <c r="C15" s="116"/>
      <c r="D15" s="116"/>
      <c r="E15" s="116"/>
      <c r="F15" s="116"/>
      <c r="G15" s="116"/>
      <c r="H15" s="116"/>
      <c r="Q15" s="19" t="s">
        <v>2</v>
      </c>
    </row>
    <row r="16" spans="1:17" ht="13.5" thickBot="1">
      <c r="A16" s="81" t="s">
        <v>216</v>
      </c>
    </row>
    <row r="17" spans="1:19">
      <c r="A17" s="317" t="s">
        <v>162</v>
      </c>
      <c r="B17" s="311" t="s">
        <v>10</v>
      </c>
      <c r="C17" s="312"/>
      <c r="D17" s="294" t="s">
        <v>211</v>
      </c>
      <c r="E17" s="294"/>
      <c r="F17" s="294"/>
      <c r="G17" s="294"/>
      <c r="H17" s="294"/>
      <c r="I17" s="294"/>
      <c r="J17" s="294"/>
      <c r="K17" s="294"/>
      <c r="L17" s="294"/>
      <c r="M17" s="294"/>
      <c r="N17" s="294"/>
      <c r="O17" s="295"/>
    </row>
    <row r="18" spans="1:19" ht="12.75" customHeight="1">
      <c r="A18" s="318"/>
      <c r="B18" s="313"/>
      <c r="C18" s="314"/>
      <c r="D18" s="320" t="s">
        <v>3</v>
      </c>
      <c r="E18" s="296"/>
      <c r="F18" s="296"/>
      <c r="G18" s="296"/>
      <c r="H18" s="296"/>
      <c r="I18" s="306" t="s">
        <v>3</v>
      </c>
      <c r="J18" s="289" t="s">
        <v>4</v>
      </c>
      <c r="K18" s="290"/>
      <c r="L18" s="290"/>
      <c r="M18" s="290"/>
      <c r="N18" s="306" t="s">
        <v>4</v>
      </c>
      <c r="O18" s="297" t="s">
        <v>215</v>
      </c>
    </row>
    <row r="19" spans="1:19" ht="18" customHeight="1">
      <c r="A19" s="318"/>
      <c r="B19" s="313"/>
      <c r="C19" s="314"/>
      <c r="D19" s="306" t="s">
        <v>6</v>
      </c>
      <c r="E19" s="302" t="s">
        <v>6</v>
      </c>
      <c r="F19" s="303"/>
      <c r="G19" s="308" t="s">
        <v>7</v>
      </c>
      <c r="H19" s="291" t="s">
        <v>8</v>
      </c>
      <c r="I19" s="310"/>
      <c r="J19" s="306" t="s">
        <v>6</v>
      </c>
      <c r="K19" s="306" t="s">
        <v>49</v>
      </c>
      <c r="L19" s="289" t="s">
        <v>49</v>
      </c>
      <c r="M19" s="290"/>
      <c r="N19" s="310"/>
      <c r="O19" s="298"/>
    </row>
    <row r="20" spans="1:19" ht="66" customHeight="1">
      <c r="A20" s="318"/>
      <c r="B20" s="313"/>
      <c r="C20" s="314"/>
      <c r="D20" s="307"/>
      <c r="E20" s="115" t="s">
        <v>54</v>
      </c>
      <c r="F20" s="115" t="s">
        <v>50</v>
      </c>
      <c r="G20" s="309"/>
      <c r="H20" s="292"/>
      <c r="I20" s="307"/>
      <c r="J20" s="307"/>
      <c r="K20" s="307"/>
      <c r="L20" s="115" t="s">
        <v>51</v>
      </c>
      <c r="M20" s="115" t="s">
        <v>8</v>
      </c>
      <c r="N20" s="307"/>
      <c r="O20" s="299"/>
      <c r="S20" s="85"/>
    </row>
    <row r="21" spans="1:19">
      <c r="A21" s="319"/>
      <c r="B21" s="315"/>
      <c r="C21" s="316"/>
      <c r="D21" s="117">
        <v>1</v>
      </c>
      <c r="E21" s="88">
        <f t="shared" ref="E21" si="7">D21+1</f>
        <v>2</v>
      </c>
      <c r="F21" s="88">
        <f t="shared" ref="F21" si="8">E21+1</f>
        <v>3</v>
      </c>
      <c r="G21" s="88">
        <f t="shared" ref="G21" si="9">F21+1</f>
        <v>4</v>
      </c>
      <c r="H21" s="88">
        <f t="shared" ref="H21" si="10">G21+1</f>
        <v>5</v>
      </c>
      <c r="I21" s="88">
        <f t="shared" ref="I21" si="11">H21+1</f>
        <v>6</v>
      </c>
      <c r="J21" s="88">
        <f t="shared" ref="J21" si="12">I21+1</f>
        <v>7</v>
      </c>
      <c r="K21" s="88">
        <f t="shared" ref="K21" si="13">J21+1</f>
        <v>8</v>
      </c>
      <c r="L21" s="88">
        <f t="shared" ref="L21" si="14">K21+1</f>
        <v>9</v>
      </c>
      <c r="M21" s="88">
        <f t="shared" ref="M21" si="15">L21+1</f>
        <v>10</v>
      </c>
      <c r="N21" s="88">
        <f t="shared" ref="N21" si="16">M21+1</f>
        <v>11</v>
      </c>
      <c r="O21" s="87">
        <f t="shared" ref="O21" si="17">N21+1</f>
        <v>12</v>
      </c>
    </row>
    <row r="22" spans="1:19" ht="12.6" customHeight="1">
      <c r="A22" s="325" t="s">
        <v>52</v>
      </c>
      <c r="B22" s="327" t="s">
        <v>11</v>
      </c>
      <c r="C22" s="327"/>
      <c r="D22" s="118" t="e">
        <f>IF($B$2="15-19",100*(Result_summary!$D$18)/(Result_summary!$D$18+Result_summary!$J$18+Result_summary!$M$18+Result_summary!$D$40+Result_summary!$J$40+Result_summary!$M$40),IF($B$2="20-24",100*(Result_summary!$F$18)/(Result_summary!$F$18+Result_summary!$K$18+Result_summary!$N$18+Result_summary!$F$40+Result_summary!$K$40+Result_summary!$N$40),IF($B$2="25-29",100*(Result_summary!$H$18)/(Result_summary!$H$18+Result_summary!$L$18+Result_summary!$O$18+Result_summary!$H$40+Result_summary!$L$40+Result_summary!$O$40),IF($B$2="15-24",100*(Result_summary!$P$18)/(Result_summary!$P$18+Result_summary!$R$18+Result_summary!$S$18+Result_summary!$P$40+Result_summary!$R$40+Result_summary!$S$40),IF($B$2="18-24",100*(Result_summary!$X$18)/(Result_summary!$X$18+Result_summary!$Z$18+Result_summary!$AA$18+Result_summary!$X$40+Result_summary!$Z$40+Result_summary!$AA$40),IF($B$2="15-29",100*(Result_summary!$T$18)/(Result_summary!$T$18+Result_summary!$V$18+Result_summary!$W$18+Result_summary!$T$40+Result_summary!$V$40+Result_summary!$W$40)))))))</f>
        <v>#DIV/0!</v>
      </c>
      <c r="E22" s="119" t="e">
        <f>IF($B$2="15-19",100*(Result_summary!$E18)/(Result_summary!$D18+Result_summary!$K18+Result_summary!$N18+Result_summary!$D40+Result_summary!$K40+Result_summary!$N40),IF($B$2="20-24",100*(Result_summary!$G18)/(Result_summary!$F18+Result_summary!$L18+Result_summary!$O18+Result_summary!$F40+Result_summary!$L40+Result_summary!$O40),IF($B$2="25-29",100*(Result_summary!$I18)/(Result_summary!$H18+Result_summary!$M18+Result_summary!$P18+Result_summary!$H40+Result_summary!$M40+Result_summary!$P40),IF($B$2="15-24",100*(Result_summary!$Q18)/(Result_summary!$P18+Result_summary!$R18+Result_summary!$S18+Result_summary!$P40+Result_summary!$R40+Result_summary!$S40),IF($B$2="18-24",100*(Result_summary!$Y18)/(Result_summary!$X18+Result_summary!$Z18+Result_summary!$AA18+Result_summary!$X40+Result_summary!$Z40+Result_summary!$AA40),IF($B$2="15-29",100*(Result_summary!$U18)/(Result_summary!$T18+Result_summary!$V18+Result_summary!$W18+Result_summary!$T40+Result_summary!$V40+Result_summary!$W40)))))))</f>
        <v>#DIV/0!</v>
      </c>
      <c r="F22" s="120" t="e">
        <f>D22-E22</f>
        <v>#DIV/0!</v>
      </c>
      <c r="G22" s="121" t="e">
        <f>IF($B$2="15-19",100*(Result_summary!$J$18)/(Result_summary!$D$18+Result_summary!$J$18+Result_summary!$M$18+Result_summary!$D$40+Result_summary!$J$40+Result_summary!$M$40),IF($B$2="20-24",100*(Result_summary!$K$18)/(Result_summary!$F$18+Result_summary!$K$18+Result_summary!$N$18+Result_summary!$F$40+Result_summary!$K$40+Result_summary!$N$40),IF($B$2="25-29",100*(Result_summary!$L$18)/(Result_summary!$H$18+Result_summary!$L$18+Result_summary!$O$18+Result_summary!$H$40+Result_summary!$L$40+Result_summary!$O$40),IF($B$2="15-24",100*(Result_summary!$R$18)/(Result_summary!$P$18+Result_summary!$R$18+Result_summary!$S$18+Result_summary!$P$40+Result_summary!$R$40+Result_summary!$S$40),IF($B$2="18-24",100*(Result_summary!$Z$18)/(Result_summary!$X$18+Result_summary!$Z$18+Result_summary!$AA$18+Result_summary!$X$40+Result_summary!$Z$40+Result_summary!$AA$40),IF($B$2="15-29",100*(Result_summary!$V$18)/(Result_summary!$T$18+Result_summary!$V$18+Result_summary!$W$18+Result_summary!$T$40+Result_summary!$V$40+Result_summary!$W$40)))))))</f>
        <v>#DIV/0!</v>
      </c>
      <c r="H22" s="121" t="e">
        <f>IF($B$2="15-19",100*(Result_summary!$M$18)/(Result_summary!$D$18+Result_summary!$J$18+Result_summary!$M$18+Result_summary!$D$40+Result_summary!$J$40+Result_summary!$M$40),IF($B$2="20-24",100*(Result_summary!$N$18)/(Result_summary!$F$18+Result_summary!$K$18+Result_summary!$N$18+Result_summary!$F$40+Result_summary!$K$40+Result_summary!$N$40),IF($B$2="25-29",100*(Result_summary!$O$18)/(Result_summary!$H$18+Result_summary!$L$18+Result_summary!$O$18+Result_summary!$H$40+Result_summary!$L$40+Result_summary!$O$40),IF($B$2="15-24",100*(Result_summary!$S$18)/(Result_summary!$P$18+Result_summary!$R$18+Result_summary!$S$18+Result_summary!$P$40+Result_summary!$R$40+Result_summary!$S$40),IF($B$2="18-24",100*(Result_summary!$AA$18)/(Result_summary!$X$18+Result_summary!$Z$18+Result_summary!$AA$18+Result_summary!$X$40+Result_summary!$Z$40+Result_summary!$AA$40),IF($B$2="15-29",100*(Result_summary!$W$18)/(Result_summary!$T$18+Result_summary!$V$18+Result_summary!$W$18+Result_summary!$T$40+Result_summary!$V$40+Result_summary!$W$40)))))))</f>
        <v>#DIV/0!</v>
      </c>
      <c r="I22" s="121" t="e">
        <f>D22+G22+H22</f>
        <v>#DIV/0!</v>
      </c>
      <c r="J22" s="119" t="e">
        <f>IF($B$2="15-19",100*(Result_summary!$D$40)/(Result_summary!$D$18+Result_summary!$J$18+Result_summary!$M$18+Result_summary!$D$40+Result_summary!$J$40+Result_summary!$M$40),IF($B$2="20-24",100*(Result_summary!$F$40)/(Result_summary!$F$18+Result_summary!$K$18+Result_summary!$N$18+Result_summary!$F$40+Result_summary!$K$40+Result_summary!$N$40),IF($B$2="25-29",100*(Result_summary!$H$40)/(Result_summary!$H$18+Result_summary!$L$18+Result_summary!$O$18+Result_summary!$H$40+Result_summary!$L$40+Result_summary!$O$40),IF($B$2="15-24",100*(Result_summary!$P$40)/(Result_summary!$P$18+Result_summary!$R$18+Result_summary!$S$18+Result_summary!$P$40+Result_summary!$R$40+Result_summary!$S$40),IF($B$2="18-24",100*(Result_summary!$X$40)/(Result_summary!$X$18+Result_summary!$Z$18+Result_summary!$AA$18+Result_summary!$X$40+Result_summary!$Z$40+Result_summary!$AA$40),IF($B$2="15-29",100*(Result_summary!$T$40)/(Result_summary!$T$18+Result_summary!$V$18+Result_summary!$W$18+Result_summary!$T$40+Result_summary!$V$40+Result_summary!$W$40)))))))</f>
        <v>#DIV/0!</v>
      </c>
      <c r="K22" s="119" t="e">
        <f>L22+M22</f>
        <v>#DIV/0!</v>
      </c>
      <c r="L22" s="121" t="e">
        <f>IF($B$2="15-19",100*(Result_summary!$J$40)/(Result_summary!$D$18+Result_summary!$J$18+Result_summary!$M$18+Result_summary!$D$40+Result_summary!$J$40+Result_summary!$M$40),IF($B$2="20-24",100*(Result_summary!$K$40)/(Result_summary!$F$18+Result_summary!$K$18+Result_summary!$N$18+Result_summary!$F$40+Result_summary!$K$40+Result_summary!$N$40),IF($B$2="25-29",100*(Result_summary!$L$40)/(Result_summary!$H$18+Result_summary!$L$18+Result_summary!$O$18+Result_summary!$H$40+Result_summary!$L$40+Result_summary!$O$40),IF($B$2="15-24",100*(Result_summary!$R$40)/(Result_summary!$P$18+Result_summary!$R$18+Result_summary!$S$18+Result_summary!$P$40+Result_summary!$R$40+Result_summary!$S$40),IF($B$2="18-24",100*(Result_summary!$Z$40)/(Result_summary!$X$18+Result_summary!$Z$18+Result_summary!$AA$18+Result_summary!$X$40+Result_summary!$Z$40+Result_summary!$AA$40),IF($B$2="15-29",100*(Result_summary!$V$40)/(Result_summary!$T$18+Result_summary!$V$18+Result_summary!$W$18+Result_summary!$T$40+Result_summary!$V$40+Result_summary!$W$40)))))))</f>
        <v>#DIV/0!</v>
      </c>
      <c r="M22" s="121" t="e">
        <f>IF($B$2="15-19",100*(Result_summary!$M$40)/(Result_summary!$D$18+Result_summary!$J$18+Result_summary!$M$18+Result_summary!$D$40+Result_summary!$J$40+Result_summary!$M$40),IF($B$2="20-24",100*(Result_summary!$N$40)/(Result_summary!$F$18+Result_summary!$K$18+Result_summary!$N$18+Result_summary!$F$40+Result_summary!$K$40+Result_summary!$N$40),IF($B$2="25-29",100*(Result_summary!$O$40)/(Result_summary!$H$18+Result_summary!$L$18+Result_summary!$O$18+Result_summary!$H$40+Result_summary!$L$40+Result_summary!$O$40),IF($B$2="15-24",100*(Result_summary!$S$40)/(Result_summary!$P$18+Result_summary!$R$18+Result_summary!$S$18+Result_summary!$P$40+Result_summary!$R$40+Result_summary!$S$40),IF($B$2="18-24",100*(Result_summary!$AA$40)/(Result_summary!$X$18+Result_summary!$Z$18+Result_summary!$AA$18+Result_summary!$X$40+Result_summary!$Z$40+Result_summary!$AA$40),IF($B$2="15-29",100*(Result_summary!$W$40)/(Result_summary!$T$18+Result_summary!$V$18+Result_summary!$W$18+Result_summary!$T$40+Result_summary!$V$40+Result_summary!$W$40)))))))</f>
        <v>#DIV/0!</v>
      </c>
      <c r="N22" s="119" t="e">
        <f t="shared" ref="N22:N36" si="18">J22+K22</f>
        <v>#DIV/0!</v>
      </c>
      <c r="O22" s="128" t="e">
        <f>N22+I22</f>
        <v>#DIV/0!</v>
      </c>
    </row>
    <row r="23" spans="1:19" ht="12.6" customHeight="1">
      <c r="A23" s="324"/>
      <c r="B23" s="327" t="s">
        <v>12</v>
      </c>
      <c r="C23" s="327"/>
      <c r="D23" s="118" t="e">
        <f>IF($B$2="15-19",100*(Result_summary!$D$19)/(Result_summary!$D$19+Result_summary!$J$19+Result_summary!$M$19+Result_summary!$D$41+Result_summary!$J$41+Result_summary!$M$41),IF($B$2="20-24",100*(Result_summary!$F$19)/(Result_summary!$F$19+Result_summary!$K$19+Result_summary!$N$19+Result_summary!$F$41+Result_summary!$K$41+Result_summary!$N$41),IF($B$2="25-29",100*(Result_summary!$H$19)/(Result_summary!$H$19+Result_summary!$L$19+Result_summary!$O$19+Result_summary!$H$41+Result_summary!$L$41+Result_summary!$O$41),IF($B$2="15-24",100*(Result_summary!$P$19)/(Result_summary!$P$19+Result_summary!$R$19+Result_summary!$S$19+Result_summary!$P$41+Result_summary!$R$41+Result_summary!$S$41),IF($B$2="18-24",100*(Result_summary!$X$19)/(Result_summary!$X$19+Result_summary!$Z$19+Result_summary!$AA$19+Result_summary!$X$41+Result_summary!$Z$41+Result_summary!$AA$41),IF($B$2="15-29",100*(Result_summary!$T$19)/(Result_summary!$T$19+Result_summary!$V$19+Result_summary!$W$19+Result_summary!$T$41+Result_summary!$V$41+Result_summary!$W$41)))))))</f>
        <v>#DIV/0!</v>
      </c>
      <c r="E23" s="120" t="e">
        <f>IF($B$2="15-19",100*(Result_summary!$E19)/(Result_summary!$D19+Result_summary!$K19+Result_summary!$N19+Result_summary!$D41+Result_summary!$K41+Result_summary!$N41),IF($B$2="20-24",100*(Result_summary!$G19)/(Result_summary!$F19+Result_summary!$L19+Result_summary!$O19+Result_summary!$F41+Result_summary!$L41+Result_summary!$O41),IF($B$2="25-29",100*(Result_summary!$I19)/(Result_summary!$H19+Result_summary!$M19+Result_summary!$P19+Result_summary!$H41+Result_summary!$M41+Result_summary!$P41),IF($B$2="15-24",100*(Result_summary!$Q19)/(Result_summary!$P19+Result_summary!$R19+Result_summary!$S19+Result_summary!$P41+Result_summary!$R41+Result_summary!$S41),IF($B$2="18-24",100*(Result_summary!$Y19)/(Result_summary!$X19+Result_summary!$Z19+Result_summary!$AA19+Result_summary!$X41+Result_summary!$Z41+Result_summary!$AA41),IF($B$2="15-29",100*(Result_summary!$U19)/(Result_summary!$T19+Result_summary!$V19+Result_summary!$W19+Result_summary!$T41+Result_summary!$V41+Result_summary!$W41)))))))</f>
        <v>#DIV/0!</v>
      </c>
      <c r="F23" s="120" t="e">
        <f t="shared" ref="F23:F36" si="19">D23-E23</f>
        <v>#DIV/0!</v>
      </c>
      <c r="G23" s="120" t="e">
        <f>IF($B$2="15-19",100*(Result_summary!$J$19)/(Result_summary!$D$19+Result_summary!$J$19+Result_summary!$M$19+Result_summary!$D$41+Result_summary!$J$41+Result_summary!$M$41),IF($B$2="20-24",100*(Result_summary!$K$19)/(Result_summary!$F$19+Result_summary!$K$19+Result_summary!$N$19+Result_summary!$F$41+Result_summary!$K$41+Result_summary!$N$41),IF($B$2="25-29",100*(Result_summary!$L$19)/(Result_summary!$H$19+Result_summary!$L$19+Result_summary!$O$19+Result_summary!$H$41+Result_summary!$L$41+Result_summary!$O$41),IF($B$2="15-24",100*(Result_summary!$R$19)/(Result_summary!$P$19+Result_summary!$R$19+Result_summary!$S$19+Result_summary!$P$41+Result_summary!$R$41+Result_summary!$S$41),IF($B$2="18-24",100*(Result_summary!$Z$19)/(Result_summary!$X$19+Result_summary!$Z$19+Result_summary!$AA$19+Result_summary!$X$41+Result_summary!$Z$41+Result_summary!$AA$41),IF($B$2="15-29",100*(Result_summary!$V$19)/(Result_summary!$T$19+Result_summary!$V$19+Result_summary!$W$19+Result_summary!$T$41+Result_summary!$V$41+Result_summary!$W$41)))))))</f>
        <v>#DIV/0!</v>
      </c>
      <c r="H23" s="120" t="e">
        <f>IF($B$2="15-19",100*(Result_summary!$M$19)/(Result_summary!$D$19+Result_summary!$J$19+Result_summary!$M$19+Result_summary!$D$41+Result_summary!$J$41+Result_summary!$M$41),IF($B$2="20-24",100*(Result_summary!$N$19)/(Result_summary!$F$19+Result_summary!$K$19+Result_summary!$N$19+Result_summary!$F$41+Result_summary!$K$41+Result_summary!$N$41),IF($B$2="25-29",100*(Result_summary!$O$19)/(Result_summary!$H$19+Result_summary!$L$19+Result_summary!$O$19+Result_summary!$H$41+Result_summary!$L$41+Result_summary!$O$41),IF($B$2="15-24",100*(Result_summary!$S$19)/(Result_summary!$P$19+Result_summary!$R$19+Result_summary!$S$19+Result_summary!$P$41+Result_summary!$R$41+Result_summary!$S$41),IF($B$2="18-24",100*(Result_summary!$AA$19)/(Result_summary!$X$19+Result_summary!$Z$19+Result_summary!$AA$19+Result_summary!$X$41+Result_summary!$Z$41+Result_summary!$AA$41),IF($B$2="15-29",100*(Result_summary!$W$19)/(Result_summary!$T$19+Result_summary!$V$19+Result_summary!$W$19+Result_summary!$T$41+Result_summary!$V$41+Result_summary!$W$41)))))))</f>
        <v>#DIV/0!</v>
      </c>
      <c r="I23" s="120" t="e">
        <f>D23+G23+H23</f>
        <v>#DIV/0!</v>
      </c>
      <c r="J23" s="126" t="e">
        <f>IF($B$2="15-19",100*(Result_summary!$D$41)/(Result_summary!$D$19+Result_summary!$J$19+Result_summary!$M$19+Result_summary!$D$41+Result_summary!$J$41+Result_summary!$M$41),IF($B$2="20-24",100*(Result_summary!$F$41)/(Result_summary!$F$19+Result_summary!$K$19+Result_summary!$N$19+Result_summary!$F$41+Result_summary!$K$41+Result_summary!$N$41),IF($B$2="25-29",100*(Result_summary!$H$41)/(Result_summary!$H$19+Result_summary!$L$19+Result_summary!$O$19+Result_summary!$H$41+Result_summary!$L$41+Result_summary!$O$41),IF($B$2="15-24",100*(Result_summary!$P$41)/(Result_summary!$P$19+Result_summary!$R$19+Result_summary!$S$19+Result_summary!$P$41+Result_summary!$R$41+Result_summary!$S$41),IF($B$2="18-24",100*(Result_summary!$X$41)/(Result_summary!$X$19+Result_summary!$Z$19+Result_summary!$AA$19+Result_summary!$X$41+Result_summary!$Z$41+Result_summary!$AA$41),IF($B$2="15-29",100*(Result_summary!$T$41)/(Result_summary!$T$19+Result_summary!$V$19+Result_summary!$W$19+Result_summary!$T$41+Result_summary!$V$41+Result_summary!$W$41)))))))</f>
        <v>#DIV/0!</v>
      </c>
      <c r="K23" s="120" t="e">
        <f>L23+M23</f>
        <v>#DIV/0!</v>
      </c>
      <c r="L23" s="120" t="e">
        <f>IF($B$2="15-19",100*(Result_summary!$J$41)/(Result_summary!$D$19+Result_summary!$J$19+Result_summary!$M$19+Result_summary!$D$41+Result_summary!$J$41+Result_summary!$M$41),IF($B$2="20-24",100*(Result_summary!$K$41)/(Result_summary!$F$19+Result_summary!$K$19+Result_summary!$N$19+Result_summary!$F$41+Result_summary!$K$41+Result_summary!$N$41),IF($B$2="25-29",100*(Result_summary!$L$41)/(Result_summary!$H$19+Result_summary!$L$19+Result_summary!$O$19+Result_summary!$H$41+Result_summary!$L$41+Result_summary!$O$41),IF($B$2="15-24",100*(Result_summary!$R$41)/(Result_summary!$P$19+Result_summary!$R$19+Result_summary!$S$19+Result_summary!$P$41+Result_summary!$R$41+Result_summary!$S$41),IF($B$2="18-24",100*(Result_summary!$Z$41)/(Result_summary!$X$19+Result_summary!$Z$19+Result_summary!$AA$19+Result_summary!$X$41+Result_summary!$Z$41+Result_summary!$AA$41),IF($B$2="15-29",100*(Result_summary!$V$41)/(Result_summary!$T$19+Result_summary!$V$19+Result_summary!$W$19+Result_summary!$T$41+Result_summary!$V$41+Result_summary!$W$41)))))))</f>
        <v>#DIV/0!</v>
      </c>
      <c r="M23" s="120" t="e">
        <f>IF($B$2="15-19",100*(Result_summary!$M$41)/(Result_summary!$D$19+Result_summary!$J$19+Result_summary!$M$19+Result_summary!$D$41+Result_summary!$J$41+Result_summary!$M$41),IF($B$2="20-24",100*(Result_summary!$N$41)/(Result_summary!$F$19+Result_summary!$K$19+Result_summary!$N$19+Result_summary!$F$41+Result_summary!$K$41+Result_summary!$N$41),IF($B$2="25-29",100*(Result_summary!$O$41)/(Result_summary!$H$19+Result_summary!$L$19+Result_summary!$O$19+Result_summary!$H$41+Result_summary!$L$41+Result_summary!$O$41),IF($B$2="15-24",100*(Result_summary!$S$41)/(Result_summary!$P$19+Result_summary!$R$19+Result_summary!$S$19+Result_summary!$P$41+Result_summary!$R$41+Result_summary!$S$41),IF($B$2="18-24",100*(Result_summary!$AA$41)/(Result_summary!$X$19+Result_summary!$Z$19+Result_summary!$AA$19+Result_summary!$X$41+Result_summary!$Z$41+Result_summary!$AA$41),IF($B$2="15-29",100*(Result_summary!$W$41)/(Result_summary!$T$19+Result_summary!$V$19+Result_summary!$W$19+Result_summary!$T$41+Result_summary!$V$41+Result_summary!$W$41)))))))</f>
        <v>#DIV/0!</v>
      </c>
      <c r="N23" s="120" t="e">
        <f t="shared" si="18"/>
        <v>#DIV/0!</v>
      </c>
      <c r="O23" s="129" t="e">
        <f>N23+I23</f>
        <v>#DIV/0!</v>
      </c>
    </row>
    <row r="24" spans="1:19" ht="25.5" customHeight="1">
      <c r="A24" s="324"/>
      <c r="B24" s="288" t="s">
        <v>227</v>
      </c>
      <c r="C24" s="288"/>
      <c r="D24" s="118" t="e">
        <f>IF($B$2="15-19",100*(Result_summary!$D$20)/(Result_summary!$D$20+Result_summary!$J$20+Result_summary!$M$20+Result_summary!$D$42+Result_summary!$J$42+Result_summary!$M$42),IF($B$2="20-24",100*(Result_summary!$F$20)/(Result_summary!$F$20+Result_summary!$K$20+Result_summary!$N$20+Result_summary!$F$42+Result_summary!$K$42+Result_summary!$N$42),IF($B$2="25-29",100*(Result_summary!$H$20)/(Result_summary!$H$20+Result_summary!$L$20+Result_summary!$O$20+Result_summary!$H$42+Result_summary!$L$42+Result_summary!$O$42),IF($B$2="15-24",100*(Result_summary!$P$20)/(Result_summary!$P$20+Result_summary!$R$20+Result_summary!$S$20+Result_summary!$P$42+Result_summary!$R$42+Result_summary!$S$42),IF($B$2="18-24",100*(Result_summary!$X$20)/(Result_summary!$X$20+Result_summary!$Z$20+Result_summary!$AA$20+Result_summary!$X$42+Result_summary!$Z$42+Result_summary!$AA$42),IF($B$2="15-29",100*(Result_summary!$T$20)/(Result_summary!$T$20+Result_summary!$V$20+Result_summary!$W$20+Result_summary!$T$42+Result_summary!$V$42+Result_summary!$W$42)))))))</f>
        <v>#DIV/0!</v>
      </c>
      <c r="E24" s="120" t="e">
        <f>IF($B$2="15-19",100*(Result_summary!$E20)/(Result_summary!$D20+Result_summary!$K20+Result_summary!$N20+Result_summary!$D42+Result_summary!$K42+Result_summary!$N42),IF($B$2="20-24",100*(Result_summary!$G20)/(Result_summary!$F20+Result_summary!$L20+Result_summary!$O20+Result_summary!$F42+Result_summary!$L42+Result_summary!$O42),IF($B$2="25-29",100*(Result_summary!$I20)/(Result_summary!$H20+Result_summary!$M20+Result_summary!$P20+Result_summary!$H42+Result_summary!$M42+Result_summary!$P42),IF($B$2="15-24",100*(Result_summary!$Q20)/(Result_summary!$P20+Result_summary!$R20+Result_summary!$S20+Result_summary!$P42+Result_summary!$R42+Result_summary!$S42),IF($B$2="18-24",100*(Result_summary!$Y20)/(Result_summary!$X20+Result_summary!$Z20+Result_summary!$AA20+Result_summary!$X42+Result_summary!$Z42+Result_summary!$AA42),IF($B$2="15-29",100*(Result_summary!$U20)/(Result_summary!$T20+Result_summary!$V20+Result_summary!$W20+Result_summary!$T42+Result_summary!$V42+Result_summary!$W42)))))))</f>
        <v>#DIV/0!</v>
      </c>
      <c r="F24" s="120" t="e">
        <f t="shared" si="19"/>
        <v>#DIV/0!</v>
      </c>
      <c r="G24" s="120" t="e">
        <f>IF($B$2="15-19",100*(Result_summary!$J$20)/(Result_summary!$D$20+Result_summary!$J$20+Result_summary!$M$20+Result_summary!$D$42+Result_summary!$J$42+Result_summary!$M$42),IF($B$2="20-24",100*(Result_summary!$K$20)/(Result_summary!$F$20+Result_summary!$K$20+Result_summary!$N$20+Result_summary!$F$42+Result_summary!$K$42+Result_summary!$N$42),IF($B$2="25-29",100*(Result_summary!$L$20)/(Result_summary!$H$20+Result_summary!$L$20+Result_summary!$O$20+Result_summary!$H$42+Result_summary!$L$42+Result_summary!$O$42),IF($B$2="15-24",100*(Result_summary!$R$20)/(Result_summary!$P$20+Result_summary!$R$20+Result_summary!$S$20+Result_summary!$P$42+Result_summary!$R$42+Result_summary!$S$42),IF($B$2="18-24",100*(Result_summary!$Z$20)/(Result_summary!$X$20+Result_summary!$Z$20+Result_summary!$AA$20+Result_summary!$X$42+Result_summary!$Z$42+Result_summary!$AA$42),IF($B$2="15-29",100*(Result_summary!$V$20)/(Result_summary!$T$20+Result_summary!$V$20+Result_summary!$W$20+Result_summary!$T$42+Result_summary!$V$42+Result_summary!$W$42)))))))</f>
        <v>#DIV/0!</v>
      </c>
      <c r="H24" s="120" t="e">
        <f>IF($B$2="15-19",100*(Result_summary!$M$20)/(Result_summary!$D$20+Result_summary!$J$20+Result_summary!$M$20+Result_summary!$D$42+Result_summary!$J$42+Result_summary!$M$42),IF($B$2="20-24",100*(Result_summary!$N$20)/(Result_summary!$F$20+Result_summary!$K$20+Result_summary!$N$20+Result_summary!$F$42+Result_summary!$K$42+Result_summary!$N$42),IF($B$2="25-29",100*(Result_summary!$O$20)/(Result_summary!$H$20+Result_summary!$L$20+Result_summary!$O$20+Result_summary!$H$42+Result_summary!$L$42+Result_summary!$O$42),IF($B$2="15-24",100*(Result_summary!$S$20)/(Result_summary!$P$20+Result_summary!$R$20+Result_summary!$S$20+Result_summary!$P$42+Result_summary!$R$42+Result_summary!$S$42),IF($B$2="18-24",100*(Result_summary!$AA$20)/(Result_summary!$X$20+Result_summary!$Z$20+Result_summary!$AA$20+Result_summary!$X$42+Result_summary!$Z$42+Result_summary!$AA$42),IF($B$2="15-29",100*(Result_summary!$W$20)/(Result_summary!$T$20+Result_summary!$V$20+Result_summary!$W$20+Result_summary!$T$42+Result_summary!$V$42+Result_summary!$W$42)))))))</f>
        <v>#DIV/0!</v>
      </c>
      <c r="I24" s="120" t="e">
        <f t="shared" ref="I24:I25" si="20">D24+G24+H24</f>
        <v>#DIV/0!</v>
      </c>
      <c r="J24" s="126" t="e">
        <f>IF($B$2="15-19",100*(Result_summary!$D$42)/(Result_summary!$D$20+Result_summary!$J$20+Result_summary!$M$20+Result_summary!$D$42+Result_summary!$J$42+Result_summary!$M$42),IF($B$2="20-24",100*(Result_summary!$F$42)/(Result_summary!$F$20+Result_summary!$K$20+Result_summary!$N$20+Result_summary!$F$42+Result_summary!$K$42+Result_summary!$N$42),IF($B$2="25-29",100*(Result_summary!$H$42)/(Result_summary!$H$20+Result_summary!$L$20+Result_summary!$O$20+Result_summary!$H$42+Result_summary!$L$42+Result_summary!$O$42),IF($B$2="15-24",100*(Result_summary!$P$42)/(Result_summary!$P$20+Result_summary!$R$20+Result_summary!$S$20+Result_summary!$P$42+Result_summary!$R$42+Result_summary!$S$42),IF($B$2="18-24",100*(Result_summary!$X$42)/(Result_summary!$X$20+Result_summary!$Z$20+Result_summary!$AA$20+Result_summary!$X$42+Result_summary!$Z$42+Result_summary!$AA$42),IF($B$2="15-29",100*(Result_summary!$T$42)/(Result_summary!$T$20+Result_summary!$V$20+Result_summary!$W$20+Result_summary!$T$42+Result_summary!$V$42+Result_summary!$W$42)))))))</f>
        <v>#DIV/0!</v>
      </c>
      <c r="K24" s="120" t="e">
        <f t="shared" ref="K24:K25" si="21">L24+M24</f>
        <v>#DIV/0!</v>
      </c>
      <c r="L24" s="120" t="e">
        <f>IF($B$2="15-19",100*(Result_summary!$J$42)/(Result_summary!$D$20+Result_summary!$J$20+Result_summary!$M$20+Result_summary!$D$42+Result_summary!$J$42+Result_summary!$M$42),IF($B$2="20-24",100*(Result_summary!$K$42)/(Result_summary!$F$20+Result_summary!$K$20+Result_summary!$N$20+Result_summary!$F$42+Result_summary!$K$42+Result_summary!$N$42),IF($B$2="25-29",100*(Result_summary!$L$42)/(Result_summary!$H$20+Result_summary!$L$20+Result_summary!$O$20+Result_summary!$H$42+Result_summary!$L$42+Result_summary!$O$42),IF($B$2="15-24",100*(Result_summary!$R$42)/(Result_summary!$P$20+Result_summary!$R$20+Result_summary!$S$20+Result_summary!$P$42+Result_summary!$R$42+Result_summary!$S$42),IF($B$2="18-24",100*(Result_summary!$Z$42)/(Result_summary!$X$20+Result_summary!$Z$20+Result_summary!$AA$20+Result_summary!$X$42+Result_summary!$Z$42+Result_summary!$AA$42),IF($B$2="15-29",100*(Result_summary!$V$42)/(Result_summary!$T$20+Result_summary!$V$20+Result_summary!$W$20+Result_summary!$T$42+Result_summary!$V$42+Result_summary!$W$42)))))))</f>
        <v>#DIV/0!</v>
      </c>
      <c r="M24" s="120" t="e">
        <f>IF($B$2="15-19",100*(Result_summary!$M$42)/(Result_summary!$D$20+Result_summary!$J$20+Result_summary!$M$20+Result_summary!$D$42+Result_summary!$J$42+Result_summary!$M$42),IF($B$2="20-24",100*(Result_summary!$N$42)/(Result_summary!$F$20+Result_summary!$K$20+Result_summary!$N$20+Result_summary!$F$42+Result_summary!$K$42+Result_summary!$N$42),IF($B$2="25-29",100*(Result_summary!$O$42)/(Result_summary!$H$20+Result_summary!$L$20+Result_summary!$O$20+Result_summary!$H$42+Result_summary!$L$42+Result_summary!$O$42),IF($B$2="15-24",100*(Result_summary!$S$42)/(Result_summary!$P$20+Result_summary!$R$20+Result_summary!$S$20+Result_summary!$P$42+Result_summary!$R$42+Result_summary!$S$42),IF($B$2="18-24",100*(Result_summary!$AA$42)/(Result_summary!$X$20+Result_summary!$Z$20+Result_summary!$AA$20+Result_summary!$X$42+Result_summary!$Z$42+Result_summary!$AA$42),IF($B$2="15-29",100*(Result_summary!$W$42)/(Result_summary!$T$20+Result_summary!$V$20+Result_summary!$W$20+Result_summary!$T$42+Result_summary!$V$42+Result_summary!$W$42)))))))</f>
        <v>#DIV/0!</v>
      </c>
      <c r="N24" s="120" t="e">
        <f t="shared" ref="N24:N25" si="22">J24+K24</f>
        <v>#DIV/0!</v>
      </c>
      <c r="O24" s="129" t="e">
        <f>N24+I24</f>
        <v>#DIV/0!</v>
      </c>
    </row>
    <row r="25" spans="1:19" ht="25.5" customHeight="1">
      <c r="A25" s="324"/>
      <c r="B25" s="288" t="s">
        <v>228</v>
      </c>
      <c r="C25" s="288"/>
      <c r="D25" s="118" t="e">
        <f>IF($B$2="15-19",100*(Result_summary!$D$21)/(Result_summary!$D$21+Result_summary!$J$21+Result_summary!$M$21+Result_summary!$D$43+Result_summary!$J$43+Result_summary!$M$43),IF($B$2="20-24",100*(Result_summary!$F$21)/(Result_summary!$F$21+Result_summary!$K$21+Result_summary!$N$21+Result_summary!$F$43+Result_summary!$K$43+Result_summary!$N$43),IF($B$2="25-29",100*(Result_summary!$H$21)/(Result_summary!$H$21+Result_summary!$L$21+Result_summary!$O$21+Result_summary!$H$43+Result_summary!$L$43+Result_summary!$O$43),IF($B$2="15-24",100*(Result_summary!$P$21)/(Result_summary!$P$21+Result_summary!$R$21+Result_summary!$S$21+Result_summary!$P$43+Result_summary!$R$43+Result_summary!$S$43),IF($B$2="18-24",100*(Result_summary!$X$21)/(Result_summary!$X$21+Result_summary!$Z$21+Result_summary!$AA$21+Result_summary!$X$43+Result_summary!$Z$43+Result_summary!$AA$43),IF($B$2="15-29",100*(Result_summary!$T$21)/(Result_summary!$T$21+Result_summary!$V$21+Result_summary!$W$21+Result_summary!$T$43+Result_summary!$V$43+Result_summary!$W$43)))))))</f>
        <v>#DIV/0!</v>
      </c>
      <c r="E25" s="120" t="e">
        <f>IF($B$2="15-19",100*(Result_summary!$E21)/(Result_summary!$D21+Result_summary!$K21+Result_summary!$N21+Result_summary!$D43+Result_summary!$K43+Result_summary!$N43),IF($B$2="20-24",100*(Result_summary!$G21)/(Result_summary!$F21+Result_summary!$L21+Result_summary!$O21+Result_summary!$F43+Result_summary!$L43+Result_summary!$O43),IF($B$2="25-29",100*(Result_summary!$I21)/(Result_summary!$H21+Result_summary!$M21+Result_summary!$P21+Result_summary!$H43+Result_summary!$M43+Result_summary!$P43),IF($B$2="15-24",100*(Result_summary!$Q21)/(Result_summary!$P21+Result_summary!$R21+Result_summary!$S21+Result_summary!$P43+Result_summary!$R43+Result_summary!$S43),IF($B$2="18-24",100*(Result_summary!$Y21)/(Result_summary!$X21+Result_summary!$Z21+Result_summary!$AA21+Result_summary!$X43+Result_summary!$Z43+Result_summary!$AA43),IF($B$2="15-29",100*(Result_summary!$U21)/(Result_summary!$T21+Result_summary!$V21+Result_summary!$W21+Result_summary!$T43+Result_summary!$V43+Result_summary!$W43)))))))</f>
        <v>#DIV/0!</v>
      </c>
      <c r="F25" s="120" t="e">
        <f t="shared" si="19"/>
        <v>#DIV/0!</v>
      </c>
      <c r="G25" s="120" t="e">
        <f>IF($B$2="15-19",100*(Result_summary!$J$21)/(Result_summary!$D$21+Result_summary!$J$21+Result_summary!$M$21+Result_summary!$D$43+Result_summary!$J$43+Result_summary!$M$43),IF($B$2="20-24",100*(Result_summary!$K$21)/(Result_summary!$F$21+Result_summary!$K$21+Result_summary!$N$21+Result_summary!$F$43+Result_summary!$K$43+Result_summary!$N$43),IF($B$2="25-29",100*(Result_summary!$L$21)/(Result_summary!$H$21+Result_summary!$L$21+Result_summary!$O$21+Result_summary!$H$43+Result_summary!$L$43+Result_summary!$O$43),IF($B$2="15-24",100*(Result_summary!$R$21)/(Result_summary!$P$21+Result_summary!$R$21+Result_summary!$S$21+Result_summary!$P$43+Result_summary!$R$43+Result_summary!$S$43),IF($B$2="18-24",100*(Result_summary!$Z$21)/(Result_summary!$X$21+Result_summary!$Z$21+Result_summary!$AA$21+Result_summary!$X$43+Result_summary!$Z$43+Result_summary!$AA$43),IF($B$2="15-29",100*(Result_summary!$V$21)/(Result_summary!$T$21+Result_summary!$V$21+Result_summary!$W$21+Result_summary!$T$43+Result_summary!$V$43+Result_summary!$W$43)))))))</f>
        <v>#DIV/0!</v>
      </c>
      <c r="H25" s="120" t="e">
        <f>IF($B$2="15-19",100*(Result_summary!$M$21)/(Result_summary!$D$21+Result_summary!$J$21+Result_summary!$M$21+Result_summary!$D$43+Result_summary!$J$43+Result_summary!$M$43),IF($B$2="20-24",100*(Result_summary!$N$21)/(Result_summary!$F$21+Result_summary!$K$21+Result_summary!$N$21+Result_summary!$F$43+Result_summary!$K$43+Result_summary!$N$43),IF($B$2="25-29",100*(Result_summary!$O$21)/(Result_summary!$H$21+Result_summary!$L$21+Result_summary!$O$21+Result_summary!$H$43+Result_summary!$L$43+Result_summary!$O$43),IF($B$2="15-24",100*(Result_summary!$S$21)/(Result_summary!$P$21+Result_summary!$R$21+Result_summary!$S$21+Result_summary!$P$43+Result_summary!$R$43+Result_summary!$S$43),IF($B$2="18-24",100*(Result_summary!$AA$21)/(Result_summary!$X$21+Result_summary!$Z$21+Result_summary!$AA$21+Result_summary!$X$43+Result_summary!$Z$43+Result_summary!$AA$43),IF($B$2="15-29",100*(Result_summary!$W$21)/(Result_summary!$T$21+Result_summary!$V$21+Result_summary!$W$21+Result_summary!$T$43+Result_summary!$V$43+Result_summary!$W$43)))))))</f>
        <v>#DIV/0!</v>
      </c>
      <c r="I25" s="120" t="e">
        <f t="shared" si="20"/>
        <v>#DIV/0!</v>
      </c>
      <c r="J25" s="126" t="e">
        <f>IF($B$2="15-19",100*(Result_summary!$D$43)/(Result_summary!$D$21+Result_summary!$J$21+Result_summary!$M$21+Result_summary!$D$43+Result_summary!$J$43+Result_summary!$M$43),IF($B$2="20-24",100*(Result_summary!$F$43)/(Result_summary!$F$21+Result_summary!$K$21+Result_summary!$N$21+Result_summary!$F$43+Result_summary!$K$43+Result_summary!$N$43),IF($B$2="25-29",100*(Result_summary!$H$43)/(Result_summary!$H$21+Result_summary!$L$21+Result_summary!$O$21+Result_summary!$H$43+Result_summary!$L$43+Result_summary!$O$43),IF($B$2="15-24",100*(Result_summary!$P$43)/(Result_summary!$P$21+Result_summary!$R$21+Result_summary!$S$21+Result_summary!$P$43+Result_summary!$R$43+Result_summary!$S$43),IF($B$2="18-24",100*(Result_summary!$X$43)/(Result_summary!$X$21+Result_summary!$Z$21+Result_summary!$AA$21+Result_summary!$X$43+Result_summary!$Z$43+Result_summary!$AA$43),IF($B$2="15-29",100*(Result_summary!$T$43)/(Result_summary!$T$21+Result_summary!$V$21+Result_summary!$W$21+Result_summary!$T$43+Result_summary!$V$43+Result_summary!$W$43)))))))</f>
        <v>#DIV/0!</v>
      </c>
      <c r="K25" s="120" t="e">
        <f t="shared" si="21"/>
        <v>#DIV/0!</v>
      </c>
      <c r="L25" s="120" t="e">
        <f>IF($B$2="15-19",100*(Result_summary!$J$43)/(Result_summary!$D$21+Result_summary!$J$21+Result_summary!$M$21+Result_summary!$D$43+Result_summary!$J$43+Result_summary!$M$43),IF($B$2="20-24",100*(Result_summary!$K$43)/(Result_summary!$F$21+Result_summary!$K$21+Result_summary!$N$21+Result_summary!$F$43+Result_summary!$K$43+Result_summary!$N$43),IF($B$2="25-29",100*(Result_summary!$L$43)/(Result_summary!$H$21+Result_summary!$L$21+Result_summary!$O$21+Result_summary!$H$43+Result_summary!$L$43+Result_summary!$O$43),IF($B$2="15-24",100*(Result_summary!$R$43)/(Result_summary!$P$21+Result_summary!$R$21+Result_summary!$S$21+Result_summary!$P$43+Result_summary!$R$43+Result_summary!$S$43),IF($B$2="18-24",100*(Result_summary!$Z$43)/(Result_summary!$X$21+Result_summary!$Z$21+Result_summary!$AA$21+Result_summary!$X$43+Result_summary!$Z$43+Result_summary!$AA$43),IF($B$2="15-29",100*(Result_summary!$V$43)/(Result_summary!$T$21+Result_summary!$V$21+Result_summary!$W$21+Result_summary!$T$43+Result_summary!$V$43+Result_summary!$W$43)))))))</f>
        <v>#DIV/0!</v>
      </c>
      <c r="M25" s="120" t="e">
        <f>IF($B$2="15-19",100*(Result_summary!$M$43)/(Result_summary!$D$21+Result_summary!$J$21+Result_summary!$M$21+Result_summary!$D$43+Result_summary!$J$43+Result_summary!$M$43),IF($B$2="20-24",100*(Result_summary!$N$43)/(Result_summary!$F$21+Result_summary!$K$21+Result_summary!$N$21+Result_summary!$F$43+Result_summary!$K$43+Result_summary!$N$43),IF($B$2="25-29",100*(Result_summary!$O$43)/(Result_summary!$H$21+Result_summary!$L$21+Result_summary!$O$21+Result_summary!$H$43+Result_summary!$L$43+Result_summary!$O$43),IF($B$2="15-24",100*(Result_summary!$S$43)/(Result_summary!$P$21+Result_summary!$R$21+Result_summary!$S$21+Result_summary!$P$43+Result_summary!$R$43+Result_summary!$S$43),IF($B$2="18-24",100*(Result_summary!$AA$43)/(Result_summary!$X$21+Result_summary!$Z$21+Result_summary!$AA$21+Result_summary!$X$43+Result_summary!$Z$43+Result_summary!$AA$43),IF($B$2="15-29",100*(Result_summary!$W$43)/(Result_summary!$T$21+Result_summary!$V$21+Result_summary!$W$21+Result_summary!$T$43+Result_summary!$V$43+Result_summary!$W$43)))))))</f>
        <v>#DIV/0!</v>
      </c>
      <c r="N25" s="120" t="e">
        <f t="shared" si="22"/>
        <v>#DIV/0!</v>
      </c>
      <c r="O25" s="129" t="e">
        <f>N25+I25</f>
        <v>#DIV/0!</v>
      </c>
    </row>
    <row r="26" spans="1:19" ht="12.6" customHeight="1">
      <c r="A26" s="324"/>
      <c r="B26" s="327" t="s">
        <v>9</v>
      </c>
      <c r="C26" s="327"/>
      <c r="D26" s="122" t="e">
        <f>IF($B$2="15-19",100*(Result_summary!$D$22)/(Result_summary!$D$22+Result_summary!$J$22+Result_summary!$M$22+Result_summary!$D$44+Result_summary!$J$44+Result_summary!$M$44),IF($B$2="20-24",100*(Result_summary!$F$22)/(Result_summary!$F$22+Result_summary!$K$22+Result_summary!$N$22+Result_summary!$F$44+Result_summary!$K$44+Result_summary!$N$44),IF($B$2="25-29",100*(Result_summary!$H$22)/(Result_summary!$H$22+Result_summary!$L$22+Result_summary!$O$22+Result_summary!$H$44+Result_summary!$L$44+Result_summary!$O$44),IF($B$2="15-24",100*(Result_summary!$P$22)/(Result_summary!$P$22+Result_summary!$R$22+Result_summary!$S$22+Result_summary!$P$44+Result_summary!$R$44+Result_summary!$S$44),IF($B$2="18-24",100*(Result_summary!$X$22)/(Result_summary!$X$22+Result_summary!$Z$22+Result_summary!$AA$22+Result_summary!$X$44+Result_summary!$Z$44+Result_summary!$AA$44),IF($B$2="15-29",100*(Result_summary!$T$22)/(Result_summary!$T$22+Result_summary!$V$22+Result_summary!$W$22+Result_summary!$T$44+Result_summary!$V$44+Result_summary!$W$44)))))))</f>
        <v>#DIV/0!</v>
      </c>
      <c r="E26" s="123" t="e">
        <f>IF($B$2="15-19",100*(Result_summary!$E22)/(Result_summary!$D22+Result_summary!$K22+Result_summary!$N22+Result_summary!$D44+Result_summary!$K44+Result_summary!$N44),IF($B$2="20-24",100*(Result_summary!$G22)/(Result_summary!$F22+Result_summary!$L22+Result_summary!$O22+Result_summary!$F44+Result_summary!$L44+Result_summary!$O44),IF($B$2="25-29",100*(Result_summary!$I22)/(Result_summary!$H22+Result_summary!$M22+Result_summary!$P22+Result_summary!$H44+Result_summary!$M44+Result_summary!$P44),IF($B$2="15-24",100*(Result_summary!$Q22)/(Result_summary!$P22+Result_summary!$R22+Result_summary!$S22+Result_summary!$P44+Result_summary!$R44+Result_summary!$S44),IF($B$2="18-24",100*(Result_summary!$Y22)/(Result_summary!$X22+Result_summary!$Z22+Result_summary!$AA22+Result_summary!$X44+Result_summary!$Z44+Result_summary!$AA44),IF($B$2="15-29",100*(Result_summary!$U22)/(Result_summary!$T22+Result_summary!$V22+Result_summary!$W22+Result_summary!$T44+Result_summary!$V44+Result_summary!$W44)))))))</f>
        <v>#DIV/0!</v>
      </c>
      <c r="F26" s="123" t="e">
        <f t="shared" si="19"/>
        <v>#DIV/0!</v>
      </c>
      <c r="G26" s="123" t="e">
        <f>IF($B$2="15-19",100*(Result_summary!$J$22)/(Result_summary!$D$22+Result_summary!$J$22+Result_summary!$M$22+Result_summary!$D$44+Result_summary!$J$44+Result_summary!$M$44),IF($B$2="20-24",100*(Result_summary!$K$22)/(Result_summary!$F$22+Result_summary!$K$22+Result_summary!$N$22+Result_summary!$F$44+Result_summary!$K$44+Result_summary!$N$44),IF($B$2="25-29",100*(Result_summary!$L$22)/(Result_summary!$H$22+Result_summary!$L$22+Result_summary!$O$22+Result_summary!$H$44+Result_summary!$L$44+Result_summary!$O$44),IF($B$2="15-24",100*(Result_summary!$R$22)/(Result_summary!$P$22+Result_summary!$R$22+Result_summary!$S$22+Result_summary!$P$44+Result_summary!$R$44+Result_summary!$S$44),IF($B$2="18-24",100*(Result_summary!$Z$22)/(Result_summary!$X$22+Result_summary!$Z$22+Result_summary!$AA$22+Result_summary!$X$44+Result_summary!$Z$44+Result_summary!$AA$44),IF($B$2="15-29",100*(Result_summary!$V$22)/(Result_summary!$T$22+Result_summary!$V$22+Result_summary!$W$22+Result_summary!$T$44+Result_summary!$V$44+Result_summary!$W$44)))))))</f>
        <v>#DIV/0!</v>
      </c>
      <c r="H26" s="123" t="e">
        <f>IF($B$2="15-19",100*(Result_summary!$M$22)/(Result_summary!$D$22+Result_summary!$J$22+Result_summary!$M$22+Result_summary!$D$44+Result_summary!$J$44+Result_summary!$M$44),IF($B$2="20-24",100*(Result_summary!$N$22)/(Result_summary!$F$22+Result_summary!$K$22+Result_summary!$N$22+Result_summary!$F$44+Result_summary!$K$44+Result_summary!$N$44),IF($B$2="25-29",100*(Result_summary!$O$22)/(Result_summary!$H$22+Result_summary!$L$22+Result_summary!$O$22+Result_summary!$H$44+Result_summary!$L$44+Result_summary!$O$44),IF($B$2="15-24",100*(Result_summary!$S$22)/(Result_summary!$P$22+Result_summary!$R$22+Result_summary!$S$22+Result_summary!$P$44+Result_summary!$R$44+Result_summary!$S$44),IF($B$2="18-24",100*(Result_summary!$AA$22)/(Result_summary!$X$22+Result_summary!$Z$22+Result_summary!$AA$22+Result_summary!$X$44+Result_summary!$Z$44+Result_summary!$AA$44),IF($B$2="15-29",100*(Result_summary!$W$22)/(Result_summary!$T$22+Result_summary!$V$22+Result_summary!$W$22+Result_summary!$T$44+Result_summary!$V$44+Result_summary!$W$44)))))))</f>
        <v>#DIV/0!</v>
      </c>
      <c r="I26" s="123" t="e">
        <f t="shared" ref="I26" si="23">D26+G26+H26</f>
        <v>#DIV/0!</v>
      </c>
      <c r="J26" s="127" t="e">
        <f>IF($B$2="15-19",100*(Result_summary!$D$44)/(Result_summary!$D$22+Result_summary!$J$22+Result_summary!$M$22+Result_summary!$D$44+Result_summary!$J$44+Result_summary!$M$44),IF($B$2="20-24",100*(Result_summary!$F$44)/(Result_summary!$F$22+Result_summary!$K$22+Result_summary!$N$22+Result_summary!$F$44+Result_summary!$K$44+Result_summary!$N$44),IF($B$2="25-29",100*(Result_summary!$H$44)/(Result_summary!$H$22+Result_summary!$L$22+Result_summary!$O$22+Result_summary!$H$44+Result_summary!$L$44+Result_summary!$O$44),IF($B$2="15-24",100*(Result_summary!$P$44)/(Result_summary!$P$22+Result_summary!$R$22+Result_summary!$S$22+Result_summary!$P$44+Result_summary!$R$44+Result_summary!$S$44),IF($B$2="18-24",100*(Result_summary!$X$44)/(Result_summary!$X$22+Result_summary!$Z$22+Result_summary!$AA$22+Result_summary!$X$44+Result_summary!$Z$44+Result_summary!$AA$44),IF($B$2="15-29",100*(Result_summary!$T$44)/(Result_summary!$T$22+Result_summary!$V$22+Result_summary!$W$22+Result_summary!$T$44+Result_summary!$V$44+Result_summary!$W$44)))))))</f>
        <v>#DIV/0!</v>
      </c>
      <c r="K26" s="123" t="e">
        <f t="shared" ref="K26" si="24">L26+M26</f>
        <v>#DIV/0!</v>
      </c>
      <c r="L26" s="123" t="e">
        <f>IF($B$2="15-19",100*(Result_summary!$J$44)/(Result_summary!$D$22+Result_summary!$J$22+Result_summary!$M$22+Result_summary!$D$44+Result_summary!$J$44+Result_summary!$M$44),IF($B$2="20-24",100*(Result_summary!$K$44)/(Result_summary!$F$22+Result_summary!$K$22+Result_summary!$N$22+Result_summary!$F$44+Result_summary!$K$44+Result_summary!$N$44),IF($B$2="25-29",100*(Result_summary!$L$44)/(Result_summary!$H$22+Result_summary!$L$22+Result_summary!$O$22+Result_summary!$H$44+Result_summary!$L$44+Result_summary!$O$44),IF($B$2="15-24",100*(Result_summary!$R$44)/(Result_summary!$P$22+Result_summary!$R$22+Result_summary!$S$22+Result_summary!$P$44+Result_summary!$R$44+Result_summary!$S$44),IF($B$2="18-24",100*(Result_summary!$Z$44)/(Result_summary!$X$22+Result_summary!$Z$22+Result_summary!$AA$22+Result_summary!$X$44+Result_summary!$Z$44+Result_summary!$AA$44),IF($B$2="15-29",100*(Result_summary!$V$44)/(Result_summary!$T$22+Result_summary!$V$22+Result_summary!$W$22+Result_summary!$T$44+Result_summary!$V$44+Result_summary!$W$44)))))))</f>
        <v>#DIV/0!</v>
      </c>
      <c r="M26" s="123" t="e">
        <f>IF($B$2="15-19",100*(Result_summary!$M$44)/(Result_summary!$D$22+Result_summary!$J$22+Result_summary!$M$22+Result_summary!$D$44+Result_summary!$J$44+Result_summary!$M$44),IF($B$2="20-24",100*(Result_summary!$N$44)/(Result_summary!$F$22+Result_summary!$K$22+Result_summary!$N$22+Result_summary!$F$44+Result_summary!$K$44+Result_summary!$N$44),IF($B$2="25-29",100*(Result_summary!$O$44)/(Result_summary!$H$22+Result_summary!$L$22+Result_summary!$O$22+Result_summary!$H$44+Result_summary!$L$44+Result_summary!$O$44),IF($B$2="15-24",100*(Result_summary!$S$44)/(Result_summary!$P$22+Result_summary!$R$22+Result_summary!$S$22+Result_summary!$P$44+Result_summary!$R$44+Result_summary!$S$44),IF($B$2="18-24",100*(Result_summary!$AA$44)/(Result_summary!$X$22+Result_summary!$Z$22+Result_summary!$AA$22+Result_summary!$X$44+Result_summary!$Z$44+Result_summary!$AA$44),IF($B$2="15-29",100*(Result_summary!$W$44)/(Result_summary!$T$22+Result_summary!$V$22+Result_summary!$W$22+Result_summary!$T$44+Result_summary!$V$44+Result_summary!$W$44)))))))</f>
        <v>#DIV/0!</v>
      </c>
      <c r="N26" s="123" t="e">
        <f t="shared" si="18"/>
        <v>#DIV/0!</v>
      </c>
      <c r="O26" s="130" t="e">
        <f t="shared" ref="O26" si="25">N26+I26</f>
        <v>#DIV/0!</v>
      </c>
    </row>
    <row r="27" spans="1:19" ht="12.6" customHeight="1">
      <c r="A27" s="324" t="s">
        <v>40</v>
      </c>
      <c r="B27" s="328" t="s">
        <v>11</v>
      </c>
      <c r="C27" s="328"/>
      <c r="D27" s="118" t="e">
        <f>IF($B$2="15-19",100*(Result_summary!$D$6)/(Result_summary!$D$6+Result_summary!$J$6+Result_summary!$M$6+Result_summary!$D$28+Result_summary!$J$28+Result_summary!$M$28),IF($B$2="20-24",100*(Result_summary!$F$6)/(Result_summary!$F$6+Result_summary!$K$6+Result_summary!$N$6+Result_summary!$F$28+Result_summary!$K$28+Result_summary!$N$28),IF($B$2="25-29",100*(Result_summary!$H$6)/(Result_summary!$H$6+Result_summary!$L$6+Result_summary!$O$6+Result_summary!$H$28+Result_summary!$L$28+Result_summary!$O$28),IF($B$2="15-24",100*(Result_summary!$P$6)/(Result_summary!$P$6+Result_summary!$R$6+Result_summary!$S$6+Result_summary!$P$28+Result_summary!$R$28+Result_summary!$S$28),IF($B$2="18-24",100*(Result_summary!$X$6)/(Result_summary!$X$6+Result_summary!$Z$6+Result_summary!$AA$6+Result_summary!$X$28+Result_summary!$Z$28+Result_summary!$AA$28),IF($B$2="15-29",100*(Result_summary!$T$6)/(Result_summary!$T$6+Result_summary!$V$6+Result_summary!$W$6+Result_summary!$T$28+Result_summary!$V$28+Result_summary!$W$28)))))))</f>
        <v>#DIV/0!</v>
      </c>
      <c r="E27" s="119" t="e">
        <f>IF($B$2="15-19",100*(Result_summary!$E6)/(Result_summary!$D6+Result_summary!$K6+Result_summary!$N6+Result_summary!$D28+Result_summary!$K28+Result_summary!$N28),IF($B$2="20-24",100*(Result_summary!$G6)/(Result_summary!$F6+Result_summary!$L6+Result_summary!$O6+Result_summary!$F28+Result_summary!$L28+Result_summary!$O28),IF($B$2="25-29",100*(Result_summary!$I6)/(Result_summary!$H6+Result_summary!$M6+Result_summary!$P6+Result_summary!$H28+Result_summary!$M28+Result_summary!$P28),IF($B$2="15-24",100*(Result_summary!$Q6)/(Result_summary!$P6+Result_summary!$R6+Result_summary!$S6+Result_summary!$P28+Result_summary!$R28+Result_summary!$S28),IF($B$2="18-24",100*(Result_summary!$Y6)/(Result_summary!$X6+Result_summary!$Z6+Result_summary!$AA6+Result_summary!$X28+Result_summary!$Z28+Result_summary!$AA28),IF($B$2="15-29",100*(Result_summary!$U6)/(Result_summary!$T6+Result_summary!$V6+Result_summary!$W6+Result_summary!$T28+Result_summary!$V28+Result_summary!$W28)))))))</f>
        <v>#DIV/0!</v>
      </c>
      <c r="F27" s="120" t="e">
        <f t="shared" si="19"/>
        <v>#DIV/0!</v>
      </c>
      <c r="G27" s="121" t="e">
        <f>IF($B$2="15-19",100*(Result_summary!$J$6)/(Result_summary!$D$6+Result_summary!$J$6+Result_summary!$M$6+Result_summary!$D$28+Result_summary!$J$28+Result_summary!$M$28),IF($B$2="20-24",100*(Result_summary!$K$6)/(Result_summary!$F$6+Result_summary!$K$6+Result_summary!$N$6+Result_summary!$F$28+Result_summary!$K$28+Result_summary!$N$28),IF($B$2="25-29",100*(Result_summary!$L$6)/(Result_summary!$H$6+Result_summary!$L$6+Result_summary!$O$6+Result_summary!$H$28+Result_summary!$L$28+Result_summary!$O$28),IF($B$2="15-24",100*(Result_summary!$R$6)/(Result_summary!$P$6+Result_summary!$R$6+Result_summary!$S$6+Result_summary!$P$28+Result_summary!$R$28+Result_summary!$S$28),IF($B$2="18-24",100*(Result_summary!$Z$6)/(Result_summary!$X$6+Result_summary!$Z$6+Result_summary!$AA$6+Result_summary!$X$28+Result_summary!$Z$28+Result_summary!$AA$28),IF($B$2="15-29",100*(Result_summary!$V$6)/(Result_summary!$T$6+Result_summary!$V$6+Result_summary!$W$6+Result_summary!$T$28+Result_summary!$V$28+Result_summary!$W$28)))))))</f>
        <v>#DIV/0!</v>
      </c>
      <c r="H27" s="121" t="e">
        <f>IF($B$2="15-19",100*(Result_summary!$M$6)/(Result_summary!$D$6+Result_summary!$J$6+Result_summary!$M$6+Result_summary!$D$28+Result_summary!$J$28+Result_summary!$M$28),IF($B$2="20-24",100*(Result_summary!$N$6)/(Result_summary!$F$6+Result_summary!$K$6+Result_summary!$N$6+Result_summary!$F$28+Result_summary!$K$28+Result_summary!$N$28),IF($B$2="25-29",100*(Result_summary!$O$6)/(Result_summary!$H$6+Result_summary!$L$6+Result_summary!$O$6+Result_summary!$H$28+Result_summary!$L$28+Result_summary!$O$28),IF($B$2="15-24",100*(Result_summary!$S$6)/(Result_summary!$P$6+Result_summary!$R$6+Result_summary!$S$6+Result_summary!$P$28+Result_summary!$R$28+Result_summary!$S$28),IF($B$2="18-24",100*(Result_summary!$AA$6)/(Result_summary!$X$6+Result_summary!$Z$6+Result_summary!$AA$6+Result_summary!$X$28+Result_summary!$Z$28+Result_summary!$AA$28),IF($B$2="15-29",100*(Result_summary!$W$6)/(Result_summary!$T$6+Result_summary!$V$6+Result_summary!$W$6+Result_summary!$T$28+Result_summary!$V$28+Result_summary!$W$28)))))))</f>
        <v>#DIV/0!</v>
      </c>
      <c r="I27" s="121" t="e">
        <f>D27+G27+H27</f>
        <v>#DIV/0!</v>
      </c>
      <c r="J27" s="119" t="e">
        <f>IF($B$2="15-19",100*(Result_summary!$D$28)/(Result_summary!$D$6+Result_summary!$J$6+Result_summary!$M$6+Result_summary!$D$28+Result_summary!$J$28+Result_summary!$M$28),IF($B$2="20-24",100*(Result_summary!$F$28)/(Result_summary!$F$6+Result_summary!$K$6+Result_summary!$N$6+Result_summary!$F$28+Result_summary!$K$28+Result_summary!$N$28),IF($B$2="25-29",100*(Result_summary!$H$28)/(Result_summary!$H$6+Result_summary!$L$6+Result_summary!$O$6+Result_summary!$H$28+Result_summary!$L$28+Result_summary!$O$28),IF($B$2="15-24",100*(Result_summary!$P$28)/(Result_summary!$P$6+Result_summary!$R$6+Result_summary!$S$6+Result_summary!$P$28+Result_summary!$R$28+Result_summary!$S$28),IF($B$2="18-24",100*(Result_summary!$X$28)/(Result_summary!$X$6+Result_summary!$Z$6+Result_summary!$AA$6+Result_summary!$X$28+Result_summary!$Z$28+Result_summary!$AA$28),IF($B$2="15-29",100*(Result_summary!$T$28)/(Result_summary!$T$6+Result_summary!$V$6+Result_summary!$W$6+Result_summary!$T$28+Result_summary!$V$28+Result_summary!$W$28)))))))</f>
        <v>#DIV/0!</v>
      </c>
      <c r="K27" s="119" t="e">
        <f>L27+M27</f>
        <v>#DIV/0!</v>
      </c>
      <c r="L27" s="121" t="e">
        <f>IF($B$2="15-19",100*(Result_summary!$J$28)/(Result_summary!$D$6+Result_summary!$J$6+Result_summary!$M$6+Result_summary!$D$28+Result_summary!$J$28+Result_summary!$M$28),IF($B$2="20-24",100*(Result_summary!$K$28)/(Result_summary!$F$6+Result_summary!$K$6+Result_summary!$N$6+Result_summary!$F$28+Result_summary!$K$28+Result_summary!$N$28),IF($B$2="25-29",100*(Result_summary!$L$28)/(Result_summary!$H$6+Result_summary!$L$6+Result_summary!$O$6+Result_summary!$H$28+Result_summary!$L$28+Result_summary!$O$28),IF($B$2="15-24",100*(Result_summary!$R$28)/(Result_summary!$P$6+Result_summary!$R$6+Result_summary!$S$6+Result_summary!$P$28+Result_summary!$R$28+Result_summary!$S$28),IF($B$2="18-24",100*(Result_summary!$Z$28)/(Result_summary!$X$6+Result_summary!$Z$6+Result_summary!$AA$6+Result_summary!$X$28+Result_summary!$Z$28+Result_summary!$AA$28),IF($B$2="15-29",100*(Result_summary!$V$28)/(Result_summary!$T$6+Result_summary!$V$6+Result_summary!$W$6+Result_summary!$T$28+Result_summary!$V$28+Result_summary!$W$28)))))))</f>
        <v>#DIV/0!</v>
      </c>
      <c r="M27" s="121" t="e">
        <f>IF($B$2="15-19",100*(Result_summary!$M$28)/(Result_summary!$D$6+Result_summary!$J$6+Result_summary!$M$6+Result_summary!$D$28+Result_summary!$J$28+Result_summary!$M$28),IF($B$2="20-24",100*(Result_summary!$N$28)/(Result_summary!$F$6+Result_summary!$K$6+Result_summary!$N$6+Result_summary!$F$28+Result_summary!$K$28+Result_summary!$N$28),IF($B$2="25-29",100*(Result_summary!$O$28)/(Result_summary!$H$6+Result_summary!$L$6+Result_summary!$O$6+Result_summary!$H$28+Result_summary!$L$28+Result_summary!$O$28),IF($B$2="15-24",100*(Result_summary!$S$28)/(Result_summary!$P$6+Result_summary!$R$6+Result_summary!$S$6+Result_summary!$P$28+Result_summary!$R$28+Result_summary!$S$28),IF($B$2="18-24",100*(Result_summary!$AA$28)/(Result_summary!$X$6+Result_summary!$Z$6+Result_summary!$AA$6+Result_summary!$X$28+Result_summary!$Z$28+Result_summary!$AA$28),IF($B$2="15-29",100*(Result_summary!$W$28)/(Result_summary!$T$6+Result_summary!$V$6+Result_summary!$W$6+Result_summary!$T$28+Result_summary!$V$28+Result_summary!$W$28)))))))</f>
        <v>#DIV/0!</v>
      </c>
      <c r="N27" s="119" t="e">
        <f t="shared" si="18"/>
        <v>#DIV/0!</v>
      </c>
      <c r="O27" s="128" t="e">
        <f>N27+I27</f>
        <v>#DIV/0!</v>
      </c>
    </row>
    <row r="28" spans="1:19" ht="12.6" customHeight="1">
      <c r="A28" s="324"/>
      <c r="B28" s="327" t="s">
        <v>12</v>
      </c>
      <c r="C28" s="327"/>
      <c r="D28" s="118" t="e">
        <f>IF($B$2="15-19",100*(Result_summary!$D$7)/(Result_summary!$D$7+Result_summary!$J$7+Result_summary!$M$7+Result_summary!$D$29+Result_summary!$J$29+Result_summary!$M$29),IF($B$2="20-24",100*(Result_summary!$F$7)/(Result_summary!$F$7+Result_summary!$K$7+Result_summary!$N$7+Result_summary!$F$29+Result_summary!$K$29+Result_summary!$N$29),IF($B$2="25-29",100*(Result_summary!$H$7)/(Result_summary!$H$7+Result_summary!$L$7+Result_summary!$O$7+Result_summary!$H$29+Result_summary!$L$29+Result_summary!$O$29),IF($B$2="15-24",100*(Result_summary!$P$7)/(Result_summary!$P$7+Result_summary!$R$7+Result_summary!$S$7+Result_summary!$P$29+Result_summary!$R$29+Result_summary!$S$29),IF($B$2="18-24",100*(Result_summary!$X$7)/(Result_summary!$X$7+Result_summary!$Z$7+Result_summary!$AA$7+Result_summary!$X$29+Result_summary!$Z$29+Result_summary!$AA$29),IF($B$2="15-29",100*(Result_summary!$T$7)/(Result_summary!$T$7+Result_summary!$V$7+Result_summary!$W$7+Result_summary!$T$29+Result_summary!$V$29+Result_summary!$W$29)))))))</f>
        <v>#DIV/0!</v>
      </c>
      <c r="E28" s="120" t="e">
        <f>IF($B$2="15-19",100*(Result_summary!$E7)/(Result_summary!$D7+Result_summary!$K7+Result_summary!$N7+Result_summary!$D29+Result_summary!$K29+Result_summary!$N29),IF($B$2="20-24",100*(Result_summary!$G7)/(Result_summary!$F7+Result_summary!$L7+Result_summary!$O7+Result_summary!$F29+Result_summary!$L29+Result_summary!$O29),IF($B$2="25-29",100*(Result_summary!$I7)/(Result_summary!$H7+Result_summary!$M7+Result_summary!$P7+Result_summary!$H29+Result_summary!$M29+Result_summary!$P29),IF($B$2="15-24",100*(Result_summary!$Q7)/(Result_summary!$P7+Result_summary!$R7+Result_summary!$S7+Result_summary!$P29+Result_summary!$R29+Result_summary!$S29),IF($B$2="18-24",100*(Result_summary!$Y7)/(Result_summary!$X7+Result_summary!$Z7+Result_summary!$AA7+Result_summary!$X29+Result_summary!$Z29+Result_summary!$AA29),IF($B$2="15-29",100*(Result_summary!$U7)/(Result_summary!$T7+Result_summary!$V7+Result_summary!$W7+Result_summary!$T29+Result_summary!$V29+Result_summary!$W29)))))))</f>
        <v>#DIV/0!</v>
      </c>
      <c r="F28" s="120" t="e">
        <f t="shared" si="19"/>
        <v>#DIV/0!</v>
      </c>
      <c r="G28" s="120" t="e">
        <f>IF($B$2="15-19",100*(Result_summary!$J$7)/(Result_summary!$D$7+Result_summary!$J$7+Result_summary!$M$7+Result_summary!$D$29+Result_summary!$J$29+Result_summary!$M$29),IF($B$2="20-24",100*(Result_summary!$K$7)/(Result_summary!$F$7+Result_summary!$K$7+Result_summary!$N$7+Result_summary!$F$29+Result_summary!$K$29+Result_summary!$N$29),IF($B$2="25-29",100*(Result_summary!$L$7)/(Result_summary!$H$7+Result_summary!$L$7+Result_summary!$O$7+Result_summary!$H$29+Result_summary!$L$29+Result_summary!$O$29),IF($B$2="15-24",100*(Result_summary!$R$7)/(Result_summary!$P$7+Result_summary!$R$7+Result_summary!$S$7+Result_summary!$P$29+Result_summary!$R$29+Result_summary!$S$29),IF($B$2="18-24",100*(Result_summary!$Z$7)/(Result_summary!$X$7+Result_summary!$Z$7+Result_summary!$AA$7+Result_summary!$X$29+Result_summary!$Z$29+Result_summary!$AA$29),IF($B$2="15-29",100*(Result_summary!$V$7)/(Result_summary!$T$7+Result_summary!$V$7+Result_summary!$W$7+Result_summary!$T$29+Result_summary!$V$29+Result_summary!$W$29)))))))</f>
        <v>#DIV/0!</v>
      </c>
      <c r="H28" s="120" t="e">
        <f>IF($B$2="15-19",100*(Result_summary!$M$7)/(Result_summary!$D$7+Result_summary!$J$7+Result_summary!$M$7+Result_summary!$D$29+Result_summary!$J$29+Result_summary!$M$29),IF($B$2="20-24",100*(Result_summary!$N$7)/(Result_summary!$F$7+Result_summary!$K$7+Result_summary!$N$7+Result_summary!$F$29+Result_summary!$K$29+Result_summary!$N$29),IF($B$2="25-29",100*(Result_summary!$O$7)/(Result_summary!$H$7+Result_summary!$L$7+Result_summary!$O$7+Result_summary!$H$29+Result_summary!$L$29+Result_summary!$O$29),IF($B$2="15-24",100*(Result_summary!$S$7)/(Result_summary!$P$7+Result_summary!$R$7+Result_summary!$S$7+Result_summary!$P$29+Result_summary!$R$29+Result_summary!$S$29),IF($B$2="18-24",100*(Result_summary!$AA$7)/(Result_summary!$X$7+Result_summary!$Z$7+Result_summary!$AA$7+Result_summary!$X$29+Result_summary!$Z$29+Result_summary!$AA$29),IF($B$2="15-29",100*(Result_summary!$W$7)/(Result_summary!$T$7+Result_summary!$V$7+Result_summary!$W$7+Result_summary!$T$29+Result_summary!$V$29+Result_summary!$W$29)))))))</f>
        <v>#DIV/0!</v>
      </c>
      <c r="I28" s="120" t="e">
        <f t="shared" ref="I28:I31" si="26">D28+G28+H28</f>
        <v>#DIV/0!</v>
      </c>
      <c r="J28" s="126" t="e">
        <f>IF($B$2="15-19",100*(Result_summary!$D$29)/(Result_summary!$D$7+Result_summary!$J$7+Result_summary!$M$7+Result_summary!$D$29+Result_summary!$J$29+Result_summary!$M$29),IF($B$2="20-24",100*(Result_summary!$F$29)/(Result_summary!$F$7+Result_summary!$K$7+Result_summary!$N$7+Result_summary!$F$29+Result_summary!$K$29+Result_summary!$N$29),IF($B$2="25-29",100*(Result_summary!$H$29)/(Result_summary!$H$7+Result_summary!$L$7+Result_summary!$O$7+Result_summary!$H$29+Result_summary!$L$29+Result_summary!$O$29),IF($B$2="15-24",100*(Result_summary!$P$29)/(Result_summary!$P$7+Result_summary!$R$7+Result_summary!$S$7+Result_summary!$P$29+Result_summary!$R$29+Result_summary!$S$29),IF($B$2="18-24",100*(Result_summary!$X$29)/(Result_summary!$X$7+Result_summary!$Z$7+Result_summary!$AA$7+Result_summary!$X$29+Result_summary!$Z$29+Result_summary!$AA$29),IF($B$2="15-29",100*(Result_summary!$T$29)/(Result_summary!$T$7+Result_summary!$V$7+Result_summary!$W$7+Result_summary!$T$29+Result_summary!$V$29+Result_summary!$W$29)))))))</f>
        <v>#DIV/0!</v>
      </c>
      <c r="K28" s="120" t="e">
        <f t="shared" ref="K28:K31" si="27">L28+M28</f>
        <v>#DIV/0!</v>
      </c>
      <c r="L28" s="120" t="e">
        <f>IF($B$2="15-19",100*(Result_summary!$J$29)/(Result_summary!$D$7+Result_summary!$J$7+Result_summary!$M$7+Result_summary!$D$29+Result_summary!$J$29+Result_summary!$M$29),IF($B$2="20-24",100*(Result_summary!$K$29)/(Result_summary!$F$7+Result_summary!$K$7+Result_summary!$N$7+Result_summary!$F$29+Result_summary!$K$29+Result_summary!$N$29),IF($B$2="25-29",100*(Result_summary!$L$29)/(Result_summary!$H$7+Result_summary!$L$7+Result_summary!$O$7+Result_summary!$H$29+Result_summary!$L$29+Result_summary!$O$29),IF($B$2="15-24",100*(Result_summary!$R$29)/(Result_summary!$P$7+Result_summary!$R$7+Result_summary!$S$7+Result_summary!$P$29+Result_summary!$R$29+Result_summary!$S$29),IF($B$2="18-24",100*(Result_summary!$Z$29)/(Result_summary!$X$7+Result_summary!$Z$7+Result_summary!$AA$7+Result_summary!$X$29+Result_summary!$Z$29+Result_summary!$AA$29),IF($B$2="15-29",100*(Result_summary!$V$29)/(Result_summary!$T$7+Result_summary!$V$7+Result_summary!$W$7+Result_summary!$T$29+Result_summary!$V$29+Result_summary!$W$29)))))))</f>
        <v>#DIV/0!</v>
      </c>
      <c r="M28" s="120" t="e">
        <f>IF($B$2="15-19",100*(Result_summary!$M$29)/(Result_summary!$D$7+Result_summary!$J$7+Result_summary!$M$7+Result_summary!$D$29+Result_summary!$J$29+Result_summary!$M$29),IF($B$2="20-24",100*(Result_summary!$N$29)/(Result_summary!$F$7+Result_summary!$K$7+Result_summary!$N$7+Result_summary!$F$29+Result_summary!$K$29+Result_summary!$N$29),IF($B$2="25-29",100*(Result_summary!$O$29)/(Result_summary!$H$7+Result_summary!$L$7+Result_summary!$O$7+Result_summary!$H$29+Result_summary!$L$29+Result_summary!$O$29),IF($B$2="15-24",100*(Result_summary!$S$29)/(Result_summary!$P$7+Result_summary!$R$7+Result_summary!$S$7+Result_summary!$P$29+Result_summary!$R$29+Result_summary!$S$29),IF($B$2="18-24",100*(Result_summary!$AA$29)/(Result_summary!$X$7+Result_summary!$Z$7+Result_summary!$AA$7+Result_summary!$X$29+Result_summary!$Z$29+Result_summary!$AA$29),IF($B$2="15-29",100*(Result_summary!$W$29)/(Result_summary!$T$7+Result_summary!$V$7+Result_summary!$W$7+Result_summary!$T$29+Result_summary!$V$29+Result_summary!$W$29)))))))</f>
        <v>#DIV/0!</v>
      </c>
      <c r="N28" s="120" t="e">
        <f t="shared" si="18"/>
        <v>#DIV/0!</v>
      </c>
      <c r="O28" s="129" t="e">
        <f>N28+I28</f>
        <v>#DIV/0!</v>
      </c>
    </row>
    <row r="29" spans="1:19" ht="25.5" customHeight="1">
      <c r="A29" s="324"/>
      <c r="B29" s="288" t="s">
        <v>227</v>
      </c>
      <c r="C29" s="288"/>
      <c r="D29" s="118" t="e">
        <f>IF($B$2="15-19",100*(Result_summary!$D$8)/(Result_summary!$D$8+Result_summary!$J$8+Result_summary!$M$8+Result_summary!$D$30+Result_summary!$J$30+Result_summary!$M$30),IF($B$2="20-24",100*(Result_summary!$F$8)/(Result_summary!$F$8+Result_summary!$K$8+Result_summary!$N$8+Result_summary!$F$30+Result_summary!$K$30+Result_summary!$N$30),IF($B$2="25-29",100*(Result_summary!$H$8)/(Result_summary!$H$8+Result_summary!$L$8+Result_summary!$O$8+Result_summary!$H$30+Result_summary!$L$30+Result_summary!$O$30),IF($B$2="15-24",100*(Result_summary!$P$8)/(Result_summary!$P$8+Result_summary!$R$8+Result_summary!$S$8+Result_summary!$P$30+Result_summary!$R$30+Result_summary!$S$30),IF($B$2="18-24",100*(Result_summary!$X$8)/(Result_summary!$X$8+Result_summary!$Z$8+Result_summary!$AA$8+Result_summary!$X$30+Result_summary!$Z$30+Result_summary!$AA$30),IF($B$2="15-29",100*(Result_summary!$T$8)/(Result_summary!$T$8+Result_summary!$V$8+Result_summary!$W$8+Result_summary!$T$30+Result_summary!$V$30+Result_summary!$W$30)))))))</f>
        <v>#DIV/0!</v>
      </c>
      <c r="E29" s="120" t="e">
        <f>IF($B$2="15-19",100*(Result_summary!$E8)/(Result_summary!$D8+Result_summary!$K8+Result_summary!$N8+Result_summary!$D30+Result_summary!$K30+Result_summary!$N30),IF($B$2="20-24",100*(Result_summary!$G8)/(Result_summary!$F8+Result_summary!$L8+Result_summary!$O8+Result_summary!$F30+Result_summary!$L30+Result_summary!$O30),IF($B$2="25-29",100*(Result_summary!$I8)/(Result_summary!$H8+Result_summary!$M8+Result_summary!$P8+Result_summary!$H30+Result_summary!$M30+Result_summary!$P30),IF($B$2="15-24",100*(Result_summary!$Q8)/(Result_summary!$P8+Result_summary!$R8+Result_summary!$S8+Result_summary!$P30+Result_summary!$R30+Result_summary!$S30),IF($B$2="18-24",100*(Result_summary!$Y8)/(Result_summary!$X8+Result_summary!$Z8+Result_summary!$AA8+Result_summary!$X30+Result_summary!$Z30+Result_summary!$AA30),IF($B$2="15-29",100*(Result_summary!$U8)/(Result_summary!$T8+Result_summary!$V8+Result_summary!$W8+Result_summary!$T30+Result_summary!$V30+Result_summary!$W30)))))))</f>
        <v>#DIV/0!</v>
      </c>
      <c r="F29" s="120" t="e">
        <f t="shared" si="19"/>
        <v>#DIV/0!</v>
      </c>
      <c r="G29" s="120" t="e">
        <f>IF($B$2="15-19",100*(Result_summary!$J$8)/(Result_summary!$D$8+Result_summary!$J$8+Result_summary!$M$8+Result_summary!$D$30+Result_summary!$J$30+Result_summary!$M$30),IF($B$2="20-24",100*(Result_summary!$K$8)/(Result_summary!$F$8+Result_summary!$K$8+Result_summary!$N$8+Result_summary!$F$30+Result_summary!$K$30+Result_summary!$N$30),IF($B$2="25-29",100*(Result_summary!$L$8)/(Result_summary!$H$8+Result_summary!$L$8+Result_summary!$O$8+Result_summary!$H$30+Result_summary!$L$30+Result_summary!$O$30),IF($B$2="15-24",100*(Result_summary!$R$8)/(Result_summary!$P$8+Result_summary!$R$8+Result_summary!$S$8+Result_summary!$P$30+Result_summary!$R$30+Result_summary!$S$30),IF($B$2="18-24",100*(Result_summary!$Z$8)/(Result_summary!$X$8+Result_summary!$Z$8+Result_summary!$AA$8+Result_summary!$X$30+Result_summary!$Z$30+Result_summary!$AA$30),IF($B$2="15-29",100*(Result_summary!$V$8)/(Result_summary!$T$8+Result_summary!$V$8+Result_summary!$W$8+Result_summary!$T$30+Result_summary!$V$30+Result_summary!$W$30)))))))</f>
        <v>#DIV/0!</v>
      </c>
      <c r="H29" s="120" t="e">
        <f>IF($B$2="15-19",100*(Result_summary!$M$8)/(Result_summary!$D$8+Result_summary!$J$8+Result_summary!$M$8+Result_summary!$D$30+Result_summary!$J$30+Result_summary!$M$30),IF($B$2="20-24",100*(Result_summary!$N$8)/(Result_summary!$F$8+Result_summary!$K$8+Result_summary!$N$8+Result_summary!$F$30+Result_summary!$K$30+Result_summary!$N$30),IF($B$2="25-29",100*(Result_summary!$O$8)/(Result_summary!$H$8+Result_summary!$L$8+Result_summary!$O$8+Result_summary!$H$30+Result_summary!$L$30+Result_summary!$O$30),IF($B$2="15-24",100*(Result_summary!$S$8)/(Result_summary!$P$8+Result_summary!$R$8+Result_summary!$S$8+Result_summary!$P$30+Result_summary!$R$30+Result_summary!$S$30),IF($B$2="18-24",100*(Result_summary!$AA$8)/(Result_summary!$X$8+Result_summary!$Z$8+Result_summary!$AA$8+Result_summary!$X$30+Result_summary!$Z$30+Result_summary!$AA$30),IF($B$2="15-29",100*(Result_summary!$W$8)/(Result_summary!$T$8+Result_summary!$V$8+Result_summary!$W$8+Result_summary!$T$30+Result_summary!$V$30+Result_summary!$W$30)))))))</f>
        <v>#DIV/0!</v>
      </c>
      <c r="I29" s="120" t="e">
        <f t="shared" ref="I29:I30" si="28">D29+G29+H29</f>
        <v>#DIV/0!</v>
      </c>
      <c r="J29" s="126" t="e">
        <f>IF($B$2="15-19",100*(Result_summary!$D$30)/(Result_summary!$D$8+Result_summary!$J$8+Result_summary!$M$8+Result_summary!$D$30+Result_summary!$J$30+Result_summary!$M$30),IF($B$2="20-24",100*(Result_summary!$F$30)/(Result_summary!$F$8+Result_summary!$K$8+Result_summary!$N$8+Result_summary!$F$30+Result_summary!$K$30+Result_summary!$N$30),IF($B$2="25-29",100*(Result_summary!$H$30)/(Result_summary!$H$8+Result_summary!$L$8+Result_summary!$O$8+Result_summary!$H$30+Result_summary!$L$30+Result_summary!$O$30),IF($B$2="15-24",100*(Result_summary!$P$30)/(Result_summary!$P$8+Result_summary!$R$8+Result_summary!$S$8+Result_summary!$P$30+Result_summary!$R$30+Result_summary!$S$30),IF($B$2="18-24",100*(Result_summary!$X$30)/(Result_summary!$X$8+Result_summary!$Z$8+Result_summary!$AA$8+Result_summary!$X$30+Result_summary!$Z$30+Result_summary!$AA$30),IF($B$2="15-29",100*(Result_summary!$T$30)/(Result_summary!$T$8+Result_summary!$V$8+Result_summary!$W$8+Result_summary!$T$30+Result_summary!$V$30+Result_summary!$W$30)))))))</f>
        <v>#DIV/0!</v>
      </c>
      <c r="K29" s="120" t="e">
        <f t="shared" ref="K29:K30" si="29">L29+M29</f>
        <v>#DIV/0!</v>
      </c>
      <c r="L29" s="120" t="e">
        <f>IF($B$2="15-19",100*(Result_summary!$J$30)/(Result_summary!$D$8+Result_summary!$J$8+Result_summary!$M$8+Result_summary!$D$30+Result_summary!$J$30+Result_summary!$M$30),IF($B$2="20-24",100*(Result_summary!$K$30)/(Result_summary!$F$8+Result_summary!$K$8+Result_summary!$N$8+Result_summary!$F$30+Result_summary!$K$30+Result_summary!$N$30),IF($B$2="25-29",100*(Result_summary!$L$30)/(Result_summary!$H$8+Result_summary!$L$8+Result_summary!$O$8+Result_summary!$H$30+Result_summary!$L$30+Result_summary!$O$30),IF($B$2="15-24",100*(Result_summary!$R$30)/(Result_summary!$P$8+Result_summary!$R$8+Result_summary!$S$8+Result_summary!$P$30+Result_summary!$R$30+Result_summary!$S$30),IF($B$2="18-24",100*(Result_summary!$Z$30)/(Result_summary!$X$8+Result_summary!$Z$8+Result_summary!$AA$8+Result_summary!$X$30+Result_summary!$Z$30+Result_summary!$AA$30),IF($B$2="15-29",100*(Result_summary!$V$30)/(Result_summary!$T$8+Result_summary!$V$8+Result_summary!$W$8+Result_summary!$T$30+Result_summary!$V$30+Result_summary!$W$30)))))))</f>
        <v>#DIV/0!</v>
      </c>
      <c r="M29" s="120" t="e">
        <f>IF($B$2="15-19",100*(Result_summary!$M$30)/(Result_summary!$D$8+Result_summary!$J$8+Result_summary!$M$8+Result_summary!$D$30+Result_summary!$J$30+Result_summary!$M$30),IF($B$2="20-24",100*(Result_summary!$N$30)/(Result_summary!$F$8+Result_summary!$K$8+Result_summary!$N$8+Result_summary!$F$30+Result_summary!$K$30+Result_summary!$N$30),IF($B$2="25-29",100*(Result_summary!$O$30)/(Result_summary!$H$8+Result_summary!$L$8+Result_summary!$O$8+Result_summary!$H$30+Result_summary!$L$30+Result_summary!$O$30),IF($B$2="15-24",100*(Result_summary!$S$30)/(Result_summary!$P$8+Result_summary!$R$8+Result_summary!$S$8+Result_summary!$P$30+Result_summary!$R$30+Result_summary!$S$30),IF($B$2="18-24",100*(Result_summary!$AA$30)/(Result_summary!$X$8+Result_summary!$Z$8+Result_summary!$AA$8+Result_summary!$X$30+Result_summary!$Z$30+Result_summary!$AA$30),IF($B$2="15-29",100*(Result_summary!$W$30)/(Result_summary!$T$8+Result_summary!$V$8+Result_summary!$W$8+Result_summary!$T$30+Result_summary!$V$30+Result_summary!$W$30)))))))</f>
        <v>#DIV/0!</v>
      </c>
      <c r="N29" s="120" t="e">
        <f t="shared" ref="N29:N30" si="30">J29+K29</f>
        <v>#DIV/0!</v>
      </c>
      <c r="O29" s="129" t="e">
        <f>N29+I29</f>
        <v>#DIV/0!</v>
      </c>
    </row>
    <row r="30" spans="1:19" ht="25.5" customHeight="1">
      <c r="A30" s="324"/>
      <c r="B30" s="288" t="s">
        <v>228</v>
      </c>
      <c r="C30" s="288"/>
      <c r="D30" s="118" t="e">
        <f>IF($B$2="15-19",100*(Result_summary!$D$9)/(Result_summary!$D$9+Result_summary!$J$9+Result_summary!$M$9+Result_summary!$D$31+Result_summary!$J$31+Result_summary!$M$31),IF($B$2="20-24",100*(Result_summary!$F$9)/(Result_summary!$F$9+Result_summary!$K$9+Result_summary!$N$9+Result_summary!$F$31+Result_summary!$K$31+Result_summary!$N$31),IF($B$2="25-29",100*(Result_summary!$H$9)/(Result_summary!$H$9+Result_summary!$L$9+Result_summary!$O$9+Result_summary!$H$31+Result_summary!$L$31+Result_summary!$O$31),IF($B$2="15-24",100*(Result_summary!$P$9)/(Result_summary!$P$9+Result_summary!$R$9+Result_summary!$S$9+Result_summary!$P$31+Result_summary!$R$31+Result_summary!$S$31),IF($B$2="18-24",100*(Result_summary!$X$9)/(Result_summary!$X$9+Result_summary!$Z$9+Result_summary!$AA$9+Result_summary!$X$31+Result_summary!$Z$31+Result_summary!$AA$31),IF($B$2="15-29",100*(Result_summary!$T$9)/(Result_summary!$T$9+Result_summary!$V$9+Result_summary!$W$9+Result_summary!$T$31+Result_summary!$V$31+Result_summary!$W$31)))))))</f>
        <v>#DIV/0!</v>
      </c>
      <c r="E30" s="120" t="e">
        <f>IF($B$2="15-19",100*(Result_summary!$E9)/(Result_summary!$D9+Result_summary!$K9+Result_summary!$N9+Result_summary!$D31+Result_summary!$K31+Result_summary!$N31),IF($B$2="20-24",100*(Result_summary!$G9)/(Result_summary!$F9+Result_summary!$L9+Result_summary!$O9+Result_summary!$F31+Result_summary!$L31+Result_summary!$O31),IF($B$2="25-29",100*(Result_summary!$I9)/(Result_summary!$H9+Result_summary!$M9+Result_summary!$P9+Result_summary!$H31+Result_summary!$M31+Result_summary!$P31),IF($B$2="15-24",100*(Result_summary!$Q9)/(Result_summary!$P9+Result_summary!$R9+Result_summary!$S9+Result_summary!$P31+Result_summary!$R31+Result_summary!$S31),IF($B$2="18-24",100*(Result_summary!$Y9)/(Result_summary!$X9+Result_summary!$Z9+Result_summary!$AA9+Result_summary!$X31+Result_summary!$Z31+Result_summary!$AA31),IF($B$2="15-29",100*(Result_summary!$U9)/(Result_summary!$T9+Result_summary!$V9+Result_summary!$W9+Result_summary!$T31+Result_summary!$V31+Result_summary!$W31)))))))</f>
        <v>#DIV/0!</v>
      </c>
      <c r="F30" s="120" t="e">
        <f t="shared" si="19"/>
        <v>#DIV/0!</v>
      </c>
      <c r="G30" s="120" t="e">
        <f>IF($B$2="15-19",100*(Result_summary!$J$9)/(Result_summary!$D$9+Result_summary!$J$9+Result_summary!$M$9+Result_summary!$D$31+Result_summary!$J$31+Result_summary!$M$31),IF($B$2="20-24",100*(Result_summary!$K$9)/(Result_summary!$F$9+Result_summary!$K$9+Result_summary!$N$9+Result_summary!$F$31+Result_summary!$K$31+Result_summary!$N$31),IF($B$2="25-29",100*(Result_summary!$L$9)/(Result_summary!$H$9+Result_summary!$L$9+Result_summary!$O$9+Result_summary!$H$31+Result_summary!$L$31+Result_summary!$O$31),IF($B$2="15-24",100*(Result_summary!$R$9)/(Result_summary!$P$9+Result_summary!$R$9+Result_summary!$S$9+Result_summary!$P$31+Result_summary!$R$31+Result_summary!$S$31),IF($B$2="18-24",100*(Result_summary!$Z$9)/(Result_summary!$X$9+Result_summary!$Z$9+Result_summary!$AA$9+Result_summary!$X$31+Result_summary!$Z$31+Result_summary!$AA$31),IF($B$2="15-29",100*(Result_summary!$V$9)/(Result_summary!$T$9+Result_summary!$V$9+Result_summary!$W$9+Result_summary!$T$31+Result_summary!$V$31+Result_summary!$W$31)))))))</f>
        <v>#DIV/0!</v>
      </c>
      <c r="H30" s="120" t="e">
        <f>IF($B$2="15-19",100*(Result_summary!$M$9)/(Result_summary!$D$9+Result_summary!$J$9+Result_summary!$M$9+Result_summary!$D$31+Result_summary!$J$31+Result_summary!$M$31),IF($B$2="20-24",100*(Result_summary!$N$9)/(Result_summary!$F$9+Result_summary!$K$9+Result_summary!$N$9+Result_summary!$F$31+Result_summary!$K$31+Result_summary!$N$31),IF($B$2="25-29",100*(Result_summary!$O$9)/(Result_summary!$H$9+Result_summary!$L$9+Result_summary!$O$9+Result_summary!$H$31+Result_summary!$L$31+Result_summary!$O$31),IF($B$2="15-24",100*(Result_summary!$S$9)/(Result_summary!$P$9+Result_summary!$R$9+Result_summary!$S$9+Result_summary!$P$31+Result_summary!$R$31+Result_summary!$S$31),IF($B$2="18-24",100*(Result_summary!$AA$9)/(Result_summary!$X$9+Result_summary!$Z$9+Result_summary!$AA$9+Result_summary!$X$31+Result_summary!$Z$31+Result_summary!$AA$31),IF($B$2="15-29",100*(Result_summary!$W$9)/(Result_summary!$T$9+Result_summary!$V$9+Result_summary!$W$9+Result_summary!$T$31+Result_summary!$V$31+Result_summary!$W$31)))))))</f>
        <v>#DIV/0!</v>
      </c>
      <c r="I30" s="120" t="e">
        <f t="shared" si="28"/>
        <v>#DIV/0!</v>
      </c>
      <c r="J30" s="126" t="e">
        <f>IF($B$2="15-19",100*(Result_summary!$D$31)/(Result_summary!$D$9+Result_summary!$J$9+Result_summary!$M$9+Result_summary!$D$31+Result_summary!$J$31+Result_summary!$M$31),IF($B$2="20-24",100*(Result_summary!$F$31)/(Result_summary!$F$9+Result_summary!$K$9+Result_summary!$N$9+Result_summary!$F$31+Result_summary!$K$31+Result_summary!$N$31),IF($B$2="25-29",100*(Result_summary!$H$31)/(Result_summary!$H$9+Result_summary!$L$9+Result_summary!$O$9+Result_summary!$H$31+Result_summary!$L$31+Result_summary!$O$31),IF($B$2="15-24",100*(Result_summary!$P$31)/(Result_summary!$P$9+Result_summary!$R$9+Result_summary!$S$9+Result_summary!$P$31+Result_summary!$R$31+Result_summary!$S$31),IF($B$2="18-24",100*(Result_summary!$X$31)/(Result_summary!$X$9+Result_summary!$Z$9+Result_summary!$AA$9+Result_summary!$X$31+Result_summary!$Z$31+Result_summary!$AA$31),IF($B$2="15-29",100*(Result_summary!$T$31)/(Result_summary!$T$9+Result_summary!$V$9+Result_summary!$W$9+Result_summary!$T$31+Result_summary!$V$31+Result_summary!$W$31)))))))</f>
        <v>#DIV/0!</v>
      </c>
      <c r="K30" s="120" t="e">
        <f t="shared" si="29"/>
        <v>#DIV/0!</v>
      </c>
      <c r="L30" s="120" t="e">
        <f>IF($B$2="15-19",100*(Result_summary!$J$31)/(Result_summary!$D$9+Result_summary!$J$9+Result_summary!$M$9+Result_summary!$D$31+Result_summary!$J$31+Result_summary!$M$31),IF($B$2="20-24",100*(Result_summary!$K$31)/(Result_summary!$F$9+Result_summary!$K$9+Result_summary!$N$9+Result_summary!$F$31+Result_summary!$K$31+Result_summary!$N$31),IF($B$2="25-29",100*(Result_summary!$L$31)/(Result_summary!$H$9+Result_summary!$L$9+Result_summary!$O$9+Result_summary!$H$31+Result_summary!$L$31+Result_summary!$O$31),IF($B$2="15-24",100*(Result_summary!$R$31)/(Result_summary!$P$9+Result_summary!$R$9+Result_summary!$S$9+Result_summary!$P$31+Result_summary!$R$31+Result_summary!$S$31),IF($B$2="18-24",100*(Result_summary!$Z$31)/(Result_summary!$X$9+Result_summary!$Z$9+Result_summary!$AA$9+Result_summary!$X$31+Result_summary!$Z$31+Result_summary!$AA$31),IF($B$2="15-29",100*(Result_summary!$V$31)/(Result_summary!$T$9+Result_summary!$V$9+Result_summary!$W$9+Result_summary!$T$31+Result_summary!$V$31+Result_summary!$W$31)))))))</f>
        <v>#DIV/0!</v>
      </c>
      <c r="M30" s="120" t="e">
        <f>IF($B$2="15-19",100*(Result_summary!$M$31)/(Result_summary!$D$9+Result_summary!$J$9+Result_summary!$M$9+Result_summary!$D$31+Result_summary!$J$31+Result_summary!$M$31),IF($B$2="20-24",100*(Result_summary!$N$31)/(Result_summary!$F$9+Result_summary!$K$9+Result_summary!$N$9+Result_summary!$F$31+Result_summary!$K$31+Result_summary!$N$31),IF($B$2="25-29",100*(Result_summary!$O$31)/(Result_summary!$H$9+Result_summary!$L$9+Result_summary!$O$9+Result_summary!$H$31+Result_summary!$L$31+Result_summary!$O$31),IF($B$2="15-24",100*(Result_summary!$S$31)/(Result_summary!$P$9+Result_summary!$R$9+Result_summary!$S$9+Result_summary!$P$31+Result_summary!$R$31+Result_summary!$S$31),IF($B$2="18-24",100*(Result_summary!$AA$31)/(Result_summary!$X$9+Result_summary!$Z$9+Result_summary!$AA$9+Result_summary!$X$31+Result_summary!$Z$31+Result_summary!$AA$31),IF($B$2="15-29",100*(Result_summary!$W$31)/(Result_summary!$T$9+Result_summary!$V$9+Result_summary!$W$9+Result_summary!$T$31+Result_summary!$V$31+Result_summary!$W$31)))))))</f>
        <v>#DIV/0!</v>
      </c>
      <c r="N30" s="120" t="e">
        <f t="shared" si="30"/>
        <v>#DIV/0!</v>
      </c>
      <c r="O30" s="129" t="e">
        <f>N30+I30</f>
        <v>#DIV/0!</v>
      </c>
    </row>
    <row r="31" spans="1:19" ht="12.6" customHeight="1">
      <c r="A31" s="324"/>
      <c r="B31" s="327" t="s">
        <v>9</v>
      </c>
      <c r="C31" s="327"/>
      <c r="D31" s="122" t="e">
        <f>IF($B$2="15-19",100*(Result_summary!$D$10)/(Result_summary!$D$10+Result_summary!$J$10+Result_summary!$M$10+Result_summary!$D$32+Result_summary!$J$32+Result_summary!$M$32),IF($B$2="20-24",100*(Result_summary!$F$10)/(Result_summary!$F$10+Result_summary!$K$10+Result_summary!$N$10+Result_summary!$F$32+Result_summary!$K$32+Result_summary!$N$32),IF($B$2="25-29",100*(Result_summary!$H$10)/(Result_summary!$H$10+Result_summary!$L$10+Result_summary!$O$10+Result_summary!$H$32+Result_summary!$L$32+Result_summary!$O$32),IF($B$2="15-24",100*(Result_summary!$P$10)/(Result_summary!$P$10+Result_summary!$R$10+Result_summary!$S$10+Result_summary!$P$32+Result_summary!$R$32+Result_summary!$S$32),IF($B$2="18-24",100*(Result_summary!$X$10)/(Result_summary!$X$10+Result_summary!$Z$10+Result_summary!$AA$10+Result_summary!$X$32+Result_summary!$Z$32+Result_summary!$AA$32),IF($B$2="15-29",100*(Result_summary!$T$10)/(Result_summary!$T$10+Result_summary!$V$10+Result_summary!$W$10+Result_summary!$T$32+Result_summary!$V$32+Result_summary!$W$32)))))))</f>
        <v>#DIV/0!</v>
      </c>
      <c r="E31" s="123" t="e">
        <f>IF($B$2="15-19",100*(Result_summary!$E10)/(Result_summary!$D10+Result_summary!$K10+Result_summary!$N10+Result_summary!$D32+Result_summary!$K32+Result_summary!$N32),IF($B$2="20-24",100*(Result_summary!$G10)/(Result_summary!$F10+Result_summary!$L10+Result_summary!$O10+Result_summary!$F32+Result_summary!$L32+Result_summary!$O32),IF($B$2="25-29",100*(Result_summary!$I10)/(Result_summary!$H10+Result_summary!$M10+Result_summary!$P10+Result_summary!$H32+Result_summary!$M32+Result_summary!$P32),IF($B$2="15-24",100*(Result_summary!$Q10)/(Result_summary!$P10+Result_summary!$R10+Result_summary!$S10+Result_summary!$P32+Result_summary!$R32+Result_summary!$S32),IF($B$2="18-24",100*(Result_summary!$Y10)/(Result_summary!$X10+Result_summary!$Z10+Result_summary!$AA10+Result_summary!$X32+Result_summary!$Z32+Result_summary!$AA32),IF($B$2="15-29",100*(Result_summary!$U10)/(Result_summary!$T10+Result_summary!$V10+Result_summary!$W10+Result_summary!$T32+Result_summary!$V32+Result_summary!$W32)))))))</f>
        <v>#DIV/0!</v>
      </c>
      <c r="F31" s="123" t="e">
        <f t="shared" si="19"/>
        <v>#DIV/0!</v>
      </c>
      <c r="G31" s="123" t="e">
        <f>IF($B$2="15-19",100*(Result_summary!$J$10)/(Result_summary!$D$10+Result_summary!$J$10+Result_summary!$M$10+Result_summary!$D$32+Result_summary!$J$32+Result_summary!$M$32),IF($B$2="20-24",100*(Result_summary!$K$10)/(Result_summary!$F$10+Result_summary!$K$10+Result_summary!$N$10+Result_summary!$F$32+Result_summary!$K$32+Result_summary!$N$32),IF($B$2="25-29",100*(Result_summary!$L$10)/(Result_summary!$H$10+Result_summary!$L$10+Result_summary!$O$10+Result_summary!$H$32+Result_summary!$L$32+Result_summary!$O$32),IF($B$2="15-24",100*(Result_summary!$R$10)/(Result_summary!$P$10+Result_summary!$R$10+Result_summary!$S$10+Result_summary!$P$32+Result_summary!$R$32+Result_summary!$S$32),IF($B$2="18-24",100*(Result_summary!$Z$10)/(Result_summary!$X$10+Result_summary!$Z$10+Result_summary!$AA$10+Result_summary!$X$32+Result_summary!$Z$32+Result_summary!$AA$32),IF($B$2="15-29",100*(Result_summary!$V$10)/(Result_summary!$T$10+Result_summary!$V$10+Result_summary!$W$10+Result_summary!$T$32+Result_summary!$V$32+Result_summary!$W$32)))))))</f>
        <v>#DIV/0!</v>
      </c>
      <c r="H31" s="123" t="e">
        <f>IF($B$2="15-19",100*(Result_summary!$M$10)/(Result_summary!$D$10+Result_summary!$J$10+Result_summary!$M$10+Result_summary!$D$32+Result_summary!$J$32+Result_summary!$M$32),IF($B$2="20-24",100*(Result_summary!$N$10)/(Result_summary!$F$10+Result_summary!$K$10+Result_summary!$N$10+Result_summary!$F$32+Result_summary!$K$32+Result_summary!$N$32),IF($B$2="25-29",100*(Result_summary!$O$10)/(Result_summary!$H$10+Result_summary!$L$10+Result_summary!$O$10+Result_summary!$H$32+Result_summary!$L$32+Result_summary!$O$32),IF($B$2="15-24",100*(Result_summary!$S$10)/(Result_summary!$P$10+Result_summary!$R$10+Result_summary!$S$10+Result_summary!$P$32+Result_summary!$R$32+Result_summary!$S$32),IF($B$2="18-24",100*(Result_summary!$AA$10)/(Result_summary!$X$10+Result_summary!$Z$10+Result_summary!$AA$10+Result_summary!$X$32+Result_summary!$Z$32+Result_summary!$AA$32),IF($B$2="15-29",100*(Result_summary!$W$10)/(Result_summary!$T$10+Result_summary!$V$10+Result_summary!$W$10+Result_summary!$T$32+Result_summary!$V$32+Result_summary!$W$32)))))))</f>
        <v>#DIV/0!</v>
      </c>
      <c r="I31" s="123" t="e">
        <f t="shared" si="26"/>
        <v>#DIV/0!</v>
      </c>
      <c r="J31" s="127" t="e">
        <f>IF($B$2="15-19",100*(Result_summary!$D$32)/(Result_summary!$D$10+Result_summary!$J$10+Result_summary!$M$10+Result_summary!$D$32+Result_summary!$J$32+Result_summary!$M$32),IF($B$2="20-24",100*(Result_summary!$F$32)/(Result_summary!$F$10+Result_summary!$K$10+Result_summary!$N$10+Result_summary!$F$32+Result_summary!$K$32+Result_summary!$N$32),IF($B$2="25-29",100*(Result_summary!$H$32)/(Result_summary!$H$10+Result_summary!$L$10+Result_summary!$O$10+Result_summary!$H$32+Result_summary!$L$32+Result_summary!$O$32),IF($B$2="15-24",100*(Result_summary!$P$32)/(Result_summary!$P$10+Result_summary!$R$10+Result_summary!$S$10+Result_summary!$P$32+Result_summary!$R$32+Result_summary!$S$32),IF($B$2="18-24",100*(Result_summary!$X$32)/(Result_summary!$X$10+Result_summary!$Z$10+Result_summary!$AA$10+Result_summary!$X$32+Result_summary!$Z$32+Result_summary!$AA$32),IF($B$2="15-29",100*(Result_summary!$T$32)/(Result_summary!$T$10+Result_summary!$V$10+Result_summary!$W$10+Result_summary!$T$32+Result_summary!$V$32+Result_summary!$W$32)))))))</f>
        <v>#DIV/0!</v>
      </c>
      <c r="K31" s="123" t="e">
        <f t="shared" si="27"/>
        <v>#DIV/0!</v>
      </c>
      <c r="L31" s="123" t="e">
        <f>IF($B$2="15-19",100*(Result_summary!$J$32)/(Result_summary!$D$10+Result_summary!$J$10+Result_summary!$M$10+Result_summary!$D$32+Result_summary!$J$32+Result_summary!$M$32),IF($B$2="20-24",100*(Result_summary!$K$32)/(Result_summary!$F$10+Result_summary!$K$10+Result_summary!$N$10+Result_summary!$F$32+Result_summary!$K$32+Result_summary!$N$32),IF($B$2="25-29",100*(Result_summary!$L$32)/(Result_summary!$H$10+Result_summary!$L$10+Result_summary!$O$10+Result_summary!$H$32+Result_summary!$L$32+Result_summary!$O$32),IF($B$2="15-24",100*(Result_summary!$R$32)/(Result_summary!$P$10+Result_summary!$R$10+Result_summary!$S$10+Result_summary!$P$32+Result_summary!$R$32+Result_summary!$S$32),IF($B$2="18-24",100*(Result_summary!$Z$32)/(Result_summary!$X$10+Result_summary!$Z$10+Result_summary!$AA$10+Result_summary!$X$32+Result_summary!$Z$32+Result_summary!$AA$32),IF($B$2="15-29",100*(Result_summary!$V$32)/(Result_summary!$T$10+Result_summary!$V$10+Result_summary!$W$10+Result_summary!$T$32+Result_summary!$V$32+Result_summary!$W$32)))))))</f>
        <v>#DIV/0!</v>
      </c>
      <c r="M31" s="123" t="e">
        <f>IF($B$2="15-19",100*(Result_summary!$M$32)/(Result_summary!$D$10+Result_summary!$J$10+Result_summary!$M$10+Result_summary!$D$32+Result_summary!$J$32+Result_summary!$M$32),IF($B$2="20-24",100*(Result_summary!$N$32)/(Result_summary!$F$10+Result_summary!$K$10+Result_summary!$N$10+Result_summary!$F$32+Result_summary!$K$32+Result_summary!$N$32),IF($B$2="25-29",100*(Result_summary!$O$32)/(Result_summary!$H$10+Result_summary!$L$10+Result_summary!$O$10+Result_summary!$H$32+Result_summary!$L$32+Result_summary!$O$32),IF($B$2="15-24",100*(Result_summary!$S$32)/(Result_summary!$P$10+Result_summary!$R$10+Result_summary!$S$10+Result_summary!$P$32+Result_summary!$R$32+Result_summary!$S$32),IF($B$2="18-24",100*(Result_summary!$AA$32)/(Result_summary!$X$10+Result_summary!$Z$10+Result_summary!$AA$10+Result_summary!$X$32+Result_summary!$Z$32+Result_summary!$AA$32),IF($B$2="15-29",100*(Result_summary!$W$32)/(Result_summary!$T$10+Result_summary!$V$10+Result_summary!$W$10+Result_summary!$T$32+Result_summary!$V$32+Result_summary!$W$32)))))))</f>
        <v>#DIV/0!</v>
      </c>
      <c r="N31" s="123" t="e">
        <f t="shared" si="18"/>
        <v>#DIV/0!</v>
      </c>
      <c r="O31" s="130" t="e">
        <f t="shared" ref="O31" si="31">N31+I31</f>
        <v>#DIV/0!</v>
      </c>
    </row>
    <row r="32" spans="1:19" ht="12.6" customHeight="1">
      <c r="A32" s="321" t="s">
        <v>39</v>
      </c>
      <c r="B32" s="328" t="s">
        <v>11</v>
      </c>
      <c r="C32" s="328"/>
      <c r="D32" s="118" t="e">
        <f>IF($B$2="15-19",100*(Result_summary!$D$12)/(Result_summary!$D$12+Result_summary!$J$12+Result_summary!$M$12+Result_summary!$D$34+Result_summary!$J$34+Result_summary!$M$34),IF($B$2="20-24",100*(Result_summary!$F$12)/(Result_summary!$F$12+Result_summary!$K$12+Result_summary!$N$12+Result_summary!$F$34+Result_summary!$K$34+Result_summary!$N$34),IF($B$2="25-29",100*(Result_summary!$H$12)/(Result_summary!$H$12+Result_summary!$L$12+Result_summary!$O$12+Result_summary!$H$34+Result_summary!$L$34+Result_summary!$O$34),IF($B$2="15-24",100*(Result_summary!$P$12)/(Result_summary!$P$12+Result_summary!$R$12+Result_summary!$S$12+Result_summary!$P$34+Result_summary!$R$34+Result_summary!$S$34),IF($B$2="18-24",100*(Result_summary!$X$12)/(Result_summary!$X$12+Result_summary!$Z$12+Result_summary!$AA$12+Result_summary!$X$34+Result_summary!$Z$34+Result_summary!$AA$34),IF($B$2="15-29",100*(Result_summary!$T$12)/(Result_summary!$T$12+Result_summary!$V$12+Result_summary!$W$12+Result_summary!$T$34+Result_summary!$V$34+Result_summary!$W$34)))))))</f>
        <v>#DIV/0!</v>
      </c>
      <c r="E32" s="119" t="e">
        <f>IF($B$2="15-19",100*(Result_summary!$E12)/(Result_summary!$D12+Result_summary!$K12+Result_summary!$N12+Result_summary!$D34+Result_summary!$K34+Result_summary!$N34),IF($B$2="20-24",100*(Result_summary!$G12)/(Result_summary!$F12+Result_summary!$L12+Result_summary!$O12+Result_summary!$F34+Result_summary!$L34+Result_summary!$O34),IF($B$2="25-29",100*(Result_summary!$I12)/(Result_summary!$H12+Result_summary!$M12+Result_summary!$P12+Result_summary!$H34+Result_summary!$M34+Result_summary!$P34),IF($B$2="15-24",100*(Result_summary!$Q12)/(Result_summary!$P12+Result_summary!$R12+Result_summary!$S12+Result_summary!$P34+Result_summary!$R34+Result_summary!$S34),IF($B$2="18-24",100*(Result_summary!$Y12)/(Result_summary!$X12+Result_summary!$Z12+Result_summary!$AA12+Result_summary!$X34+Result_summary!$Z34+Result_summary!$AA34),IF($B$2="15-29",100*(Result_summary!$U12)/(Result_summary!$T12+Result_summary!$V12+Result_summary!$W12+Result_summary!$T34+Result_summary!$V34+Result_summary!$W34)))))))</f>
        <v>#DIV/0!</v>
      </c>
      <c r="F32" s="120" t="e">
        <f t="shared" si="19"/>
        <v>#DIV/0!</v>
      </c>
      <c r="G32" s="121" t="e">
        <f>IF($B$2="15-19",100*(Result_summary!$J$12)/(Result_summary!$D$12+Result_summary!$J$12+Result_summary!$M$12+Result_summary!$D$34+Result_summary!$J$34+Result_summary!$M$34),IF($B$2="20-24",100*(Result_summary!$K$12)/(Result_summary!$F$12+Result_summary!$K$12+Result_summary!$N$12+Result_summary!$F$34+Result_summary!$K$34+Result_summary!$N$34),IF($B$2="25-29",100*(Result_summary!$L$12)/(Result_summary!$H$12+Result_summary!$L$12+Result_summary!$O$12+Result_summary!$H$34+Result_summary!$L$34+Result_summary!$O$34),IF($B$2="15-24",100*(Result_summary!$R$12)/(Result_summary!$P$12+Result_summary!$R$12+Result_summary!$S$12+Result_summary!$P$34+Result_summary!$R$34+Result_summary!$S$34),IF($B$2="18-24",100*(Result_summary!$Z$12)/(Result_summary!$X$12+Result_summary!$Z$12+Result_summary!$AA$12+Result_summary!$X$34+Result_summary!$Z$34+Result_summary!$AA$34),IF($B$2="15-29",100*(Result_summary!$V$12)/(Result_summary!$T$12+Result_summary!$V$12+Result_summary!$W$12+Result_summary!$T$34+Result_summary!$V$34+Result_summary!$W$34)))))))</f>
        <v>#DIV/0!</v>
      </c>
      <c r="H32" s="121" t="e">
        <f>IF($B$2="15-19",100*(Result_summary!$M$12)/(Result_summary!$D$12+Result_summary!$J$12+Result_summary!$M$12+Result_summary!$D$34+Result_summary!$J$34+Result_summary!$M$34),IF($B$2="20-24",100*(Result_summary!$N$12)/(Result_summary!$F$12+Result_summary!$K$12+Result_summary!$N$12+Result_summary!$F$34+Result_summary!$K$34+Result_summary!$N$34),IF($B$2="25-29",100*(Result_summary!$O$12)/(Result_summary!$H$12+Result_summary!$L$12+Result_summary!$O$12+Result_summary!$H$34+Result_summary!$L$34+Result_summary!$O$34),IF($B$2="15-24",100*(Result_summary!$S$12)/(Result_summary!$P$12+Result_summary!$R$12+Result_summary!$S$12+Result_summary!$P$34+Result_summary!$R$34+Result_summary!$S$34),IF($B$2="18-24",100*(Result_summary!$AA$12)/(Result_summary!$X$12+Result_summary!$Z$12+Result_summary!$AA$12+Result_summary!$X$34+Result_summary!$Z$34+Result_summary!$AA$34),IF($B$2="15-29",100*(Result_summary!$W$12)/(Result_summary!$T$12+Result_summary!$V$12+Result_summary!$W$12+Result_summary!$T$34+Result_summary!$V$34+Result_summary!$W$34)))))))</f>
        <v>#DIV/0!</v>
      </c>
      <c r="I32" s="121" t="e">
        <f>D32+G32+H32</f>
        <v>#DIV/0!</v>
      </c>
      <c r="J32" s="119" t="e">
        <f>IF($B$2="15-19",100*(Result_summary!$D$34)/(Result_summary!$D$12+Result_summary!$J$12+Result_summary!$M$12+Result_summary!$D$34+Result_summary!$J$34+Result_summary!$M$34),IF($B$2="20-24",100*(Result_summary!$F$34)/(Result_summary!$F$12+Result_summary!$K$12+Result_summary!$N$12+Result_summary!$F$34+Result_summary!$K$34+Result_summary!$N$34),IF($B$2="25-29",100*(Result_summary!$H$34)/(Result_summary!$H$12+Result_summary!$L$12+Result_summary!$O$12+Result_summary!$H$34+Result_summary!$L$34+Result_summary!$O$34),IF($B$2="15-24",100*(Result_summary!$P$34)/(Result_summary!$P$12+Result_summary!$R$12+Result_summary!$S$12+Result_summary!$P$34+Result_summary!$R$34+Result_summary!$S$34),IF($B$2="18-24",100*(Result_summary!$X$34)/(Result_summary!$X$12+Result_summary!$Z$12+Result_summary!$AA$12+Result_summary!$X$34+Result_summary!$Z$34+Result_summary!$AA$34),IF($B$2="15-29",100*(Result_summary!$T$34)/(Result_summary!$T$12+Result_summary!$V$12+Result_summary!$W$12+Result_summary!$T$34+Result_summary!$V$34+Result_summary!$W$34)))))))</f>
        <v>#DIV/0!</v>
      </c>
      <c r="K32" s="119" t="e">
        <f>L32+M32</f>
        <v>#DIV/0!</v>
      </c>
      <c r="L32" s="121" t="e">
        <f>IF($B$2="15-19",100*(Result_summary!$J$34)/(Result_summary!$D$12+Result_summary!$J$12+Result_summary!$M$12+Result_summary!$D$34+Result_summary!$J$34+Result_summary!$M$34),IF($B$2="20-24",100*(Result_summary!$K$34)/(Result_summary!$F$12+Result_summary!$K$12+Result_summary!$N$12+Result_summary!$F$34+Result_summary!$K$34+Result_summary!$N$34),IF($B$2="25-29",100*(Result_summary!$L$34)/(Result_summary!$H$12+Result_summary!$L$12+Result_summary!$O$12+Result_summary!$H$34+Result_summary!$L$34+Result_summary!$O$34),IF($B$2="15-24",100*(Result_summary!$R$34)/(Result_summary!$P$12+Result_summary!$R$12+Result_summary!$S$12+Result_summary!$P$34+Result_summary!$R$34+Result_summary!$S$34),IF($B$2="18-24",100*(Result_summary!$Z$34)/(Result_summary!$X$12+Result_summary!$Z$12+Result_summary!$AA$12+Result_summary!$X$34+Result_summary!$Z$34+Result_summary!$AA$34),IF($B$2="15-29",100*(Result_summary!$V$34)/(Result_summary!$T$12+Result_summary!$V$12+Result_summary!$W$12+Result_summary!$T$34+Result_summary!$V$34+Result_summary!$W$34)))))))</f>
        <v>#DIV/0!</v>
      </c>
      <c r="M32" s="121" t="e">
        <f>IF($B$2="15-19",100*(Result_summary!$M$34)/(Result_summary!$D$12+Result_summary!$J$12+Result_summary!$M$12+Result_summary!$D$34+Result_summary!$J$34+Result_summary!$M$34),IF($B$2="20-24",100*(Result_summary!$N$34)/(Result_summary!$F$12+Result_summary!$K$12+Result_summary!$N$12+Result_summary!$F$34+Result_summary!$K$34+Result_summary!$N$34),IF($B$2="25-29",100*(Result_summary!$O$34)/(Result_summary!$H$12+Result_summary!$L$12+Result_summary!$O$12+Result_summary!$H$34+Result_summary!$L$34+Result_summary!$O$34),IF($B$2="15-24",100*(Result_summary!$S$34)/(Result_summary!$P$12+Result_summary!$R$12+Result_summary!$S$12+Result_summary!$P$34+Result_summary!$R$34+Result_summary!$S$34),IF($B$2="18-24",100*(Result_summary!$AA$34)/(Result_summary!$X$12+Result_summary!$Z$12+Result_summary!$AA$12+Result_summary!$X$34+Result_summary!$Z$34+Result_summary!$AA$34),IF($B$2="15-29",100*(Result_summary!$W$34)/(Result_summary!$T$12+Result_summary!$V$12+Result_summary!$W$12+Result_summary!$T$34+Result_summary!$V$34+Result_summary!$W$34)))))))</f>
        <v>#DIV/0!</v>
      </c>
      <c r="N32" s="119" t="e">
        <f t="shared" si="18"/>
        <v>#DIV/0!</v>
      </c>
      <c r="O32" s="128" t="e">
        <f>N32+I32</f>
        <v>#DIV/0!</v>
      </c>
    </row>
    <row r="33" spans="1:15" ht="12.6" customHeight="1">
      <c r="A33" s="321"/>
      <c r="B33" s="327" t="s">
        <v>12</v>
      </c>
      <c r="C33" s="327"/>
      <c r="D33" s="118" t="e">
        <f>IF($B$2="15-19",100*(Result_summary!$D$13)/(Result_summary!$D$13+Result_summary!$J$13+Result_summary!$M$13+Result_summary!$D$35+Result_summary!$J$35+Result_summary!$M$35),IF($B$2="20-24",100*(Result_summary!$F$13)/(Result_summary!$F$13+Result_summary!$K$13+Result_summary!$N$13+Result_summary!$F$35+Result_summary!$K$35+Result_summary!$N$35),IF($B$2="25-29",100*(Result_summary!$H$13)/(Result_summary!$H$13+Result_summary!$L$13+Result_summary!$O$13+Result_summary!$H$35+Result_summary!$L$35+Result_summary!$O$35),IF($B$2="15-24",100*(Result_summary!$P$13)/(Result_summary!$P$13+Result_summary!$R$13+Result_summary!$S$13+Result_summary!$P$35+Result_summary!$R$35+Result_summary!$S$35),IF($B$2="18-24",100*(Result_summary!$X$13)/(Result_summary!$X$13+Result_summary!$Z$13+Result_summary!$AA$13+Result_summary!$X$35+Result_summary!$Z$35+Result_summary!$AA$35),IF($B$2="15-29",100*(Result_summary!$T$13)/(Result_summary!$T$13+Result_summary!$V$13+Result_summary!$W$13+Result_summary!$T$35+Result_summary!$V$35+Result_summary!$W$35)))))))</f>
        <v>#DIV/0!</v>
      </c>
      <c r="E33" s="120" t="e">
        <f>IF($B$2="15-19",100*(Result_summary!$E13)/(Result_summary!$D13+Result_summary!$K13+Result_summary!$N13+Result_summary!$D35+Result_summary!$K35+Result_summary!$N35),IF($B$2="20-24",100*(Result_summary!$G13)/(Result_summary!$F13+Result_summary!$L13+Result_summary!$O13+Result_summary!$F35+Result_summary!$L35+Result_summary!$O35),IF($B$2="25-29",100*(Result_summary!$I13)/(Result_summary!$H13+Result_summary!$M13+Result_summary!$P13+Result_summary!$H35+Result_summary!$M35+Result_summary!$P35),IF($B$2="15-24",100*(Result_summary!$Q13)/(Result_summary!$P13+Result_summary!$R13+Result_summary!$S13+Result_summary!$P35+Result_summary!$R35+Result_summary!$S35),IF($B$2="18-24",100*(Result_summary!$Y13)/(Result_summary!$X13+Result_summary!$Z13+Result_summary!$AA13+Result_summary!$X35+Result_summary!$Z35+Result_summary!$AA35),IF($B$2="15-29",100*(Result_summary!$U13)/(Result_summary!$T13+Result_summary!$V13+Result_summary!$W13+Result_summary!$T35+Result_summary!$V35+Result_summary!$W35)))))))</f>
        <v>#DIV/0!</v>
      </c>
      <c r="F33" s="120" t="e">
        <f t="shared" si="19"/>
        <v>#DIV/0!</v>
      </c>
      <c r="G33" s="120" t="e">
        <f>IF($B$2="15-19",100*(Result_summary!$J$13)/(Result_summary!$D$13+Result_summary!$J$13+Result_summary!$M$13+Result_summary!$D$35+Result_summary!$J$35+Result_summary!$M$35),IF($B$2="20-24",100*(Result_summary!$K$13)/(Result_summary!$F$13+Result_summary!$K$13+Result_summary!$N$13+Result_summary!$F$35+Result_summary!$K$35+Result_summary!$N$35),IF($B$2="25-29",100*(Result_summary!$L$13)/(Result_summary!$H$13+Result_summary!$L$13+Result_summary!$O$13+Result_summary!$H$35+Result_summary!$L$35+Result_summary!$O$35),IF($B$2="15-24",100*(Result_summary!$R$13)/(Result_summary!$P$13+Result_summary!$R$13+Result_summary!$S$13+Result_summary!$P$35+Result_summary!$R$35+Result_summary!$S$35),IF($B$2="18-24",100*(Result_summary!$Z$13)/(Result_summary!$X$13+Result_summary!$Z$13+Result_summary!$AA$13+Result_summary!$X$35+Result_summary!$Z$35+Result_summary!$AA$35),IF($B$2="15-29",100*(Result_summary!$V$13)/(Result_summary!$T$13+Result_summary!$V$13+Result_summary!$W$13+Result_summary!$T$35+Result_summary!$V$35+Result_summary!$W$35)))))))</f>
        <v>#DIV/0!</v>
      </c>
      <c r="H33" s="120" t="e">
        <f>IF($B$2="15-19",100*(Result_summary!$M$13)/(Result_summary!$D$13+Result_summary!$J$13+Result_summary!$M$13+Result_summary!$D$35+Result_summary!$J$35+Result_summary!$M$35),IF($B$2="20-24",100*(Result_summary!$N$13)/(Result_summary!$F$13+Result_summary!$K$13+Result_summary!$N$13+Result_summary!$F$35+Result_summary!$K$35+Result_summary!$N$35),IF($B$2="25-29",100*(Result_summary!$O$13)/(Result_summary!$H$13+Result_summary!$L$13+Result_summary!$O$13+Result_summary!$H$35+Result_summary!$L$35+Result_summary!$O$35),IF($B$2="15-24",100*(Result_summary!$S$13)/(Result_summary!$P$13+Result_summary!$R$13+Result_summary!$S$13+Result_summary!$P$35+Result_summary!$R$35+Result_summary!$S$35),IF($B$2="18-24",100*(Result_summary!$AA$13)/(Result_summary!$X$13+Result_summary!$Z$13+Result_summary!$AA$13+Result_summary!$X$35+Result_summary!$Z$35+Result_summary!$AA$35),IF($B$2="15-29",100*(Result_summary!$W$13)/(Result_summary!$T$13+Result_summary!$V$13+Result_summary!$W$13+Result_summary!$T$35+Result_summary!$V$35+Result_summary!$W$35)))))))</f>
        <v>#DIV/0!</v>
      </c>
      <c r="I33" s="120" t="e">
        <f>D33+G33+H33</f>
        <v>#DIV/0!</v>
      </c>
      <c r="J33" s="126" t="e">
        <f>IF($B$2="15-19",100*(Result_summary!$D$35)/(Result_summary!$D$13+Result_summary!$J$13+Result_summary!$M$13+Result_summary!$D$35+Result_summary!$J$35+Result_summary!$M$35),IF($B$2="20-24",100*(Result_summary!$F$35)/(Result_summary!$F$13+Result_summary!$K$13+Result_summary!$N$13+Result_summary!$F$35+Result_summary!$K$35+Result_summary!$N$35),IF($B$2="25-29",100*(Result_summary!$H$35)/(Result_summary!$H$13+Result_summary!$L$13+Result_summary!$O$13+Result_summary!$H$35+Result_summary!$L$35+Result_summary!$O$35),IF($B$2="15-24",100*(Result_summary!$P$35)/(Result_summary!$P$13+Result_summary!$R$13+Result_summary!$S$13+Result_summary!$P$35+Result_summary!$R$35+Result_summary!$S$35),IF($B$2="18-24",100*(Result_summary!$X$35)/(Result_summary!$X$13+Result_summary!$Z$13+Result_summary!$AA$13+Result_summary!$X$35+Result_summary!$Z$35+Result_summary!$AA$35),IF($B$2="15-29",100*(Result_summary!$T$35)/(Result_summary!$T$13+Result_summary!$V$13+Result_summary!$W$13+Result_summary!$T$35+Result_summary!$V$35+Result_summary!$W$35)))))))</f>
        <v>#DIV/0!</v>
      </c>
      <c r="K33" s="120" t="e">
        <f>L33+M33</f>
        <v>#DIV/0!</v>
      </c>
      <c r="L33" s="120" t="e">
        <f>IF($B$2="15-19",100*(Result_summary!$J$35)/(Result_summary!$D$13+Result_summary!$J$13+Result_summary!$M$13+Result_summary!$D$35+Result_summary!$J$35+Result_summary!$M$35),IF($B$2="20-24",100*(Result_summary!$K$35)/(Result_summary!$F$13+Result_summary!$K$13+Result_summary!$N$13+Result_summary!$F$35+Result_summary!$K$35+Result_summary!$N$35),IF($B$2="25-29",100*(Result_summary!$L$35)/(Result_summary!$H$13+Result_summary!$L$13+Result_summary!$O$13+Result_summary!$H$35+Result_summary!$L$35+Result_summary!$O$35),IF($B$2="15-24",100*(Result_summary!$R$35)/(Result_summary!$P$13+Result_summary!$R$13+Result_summary!$S$13+Result_summary!$P$35+Result_summary!$R$35+Result_summary!$S$35),IF($B$2="18-24",100*(Result_summary!$Z$35)/(Result_summary!$X$13+Result_summary!$Z$13+Result_summary!$AA$13+Result_summary!$X$35+Result_summary!$Z$35+Result_summary!$AA$35),IF($B$2="15-29",100*(Result_summary!$V$35)/(Result_summary!$T$13+Result_summary!$V$13+Result_summary!$W$13+Result_summary!$T$35+Result_summary!$V$35+Result_summary!$W$35)))))))</f>
        <v>#DIV/0!</v>
      </c>
      <c r="M33" s="120" t="e">
        <f>IF($B$2="15-19",100*(Result_summary!$M$35)/(Result_summary!$D$13+Result_summary!$J$13+Result_summary!$M$13+Result_summary!$D$35+Result_summary!$J$35+Result_summary!$M$35),IF($B$2="20-24",100*(Result_summary!$N$35)/(Result_summary!$F$13+Result_summary!$K$13+Result_summary!$N$13+Result_summary!$F$35+Result_summary!$K$35+Result_summary!$N$35),IF($B$2="25-29",100*(Result_summary!$O$35)/(Result_summary!$H$13+Result_summary!$L$13+Result_summary!$O$13+Result_summary!$H$35+Result_summary!$L$35+Result_summary!$O$35),IF($B$2="15-24",100*(Result_summary!$S$35)/(Result_summary!$P$13+Result_summary!$R$13+Result_summary!$S$13+Result_summary!$P$35+Result_summary!$R$35+Result_summary!$S$35),IF($B$2="18-24",100*(Result_summary!$AA$35)/(Result_summary!$X$13+Result_summary!$Z$13+Result_summary!$AA$13+Result_summary!$X$35+Result_summary!$Z$35+Result_summary!$AA$35),IF($B$2="15-29",100*(Result_summary!$W$35)/(Result_summary!$T$13+Result_summary!$V$13+Result_summary!$W$13+Result_summary!$T$35+Result_summary!$V$35+Result_summary!$W$35)))))))</f>
        <v>#DIV/0!</v>
      </c>
      <c r="N33" s="120" t="e">
        <f t="shared" si="18"/>
        <v>#DIV/0!</v>
      </c>
      <c r="O33" s="129" t="e">
        <f>N33+I33</f>
        <v>#DIV/0!</v>
      </c>
    </row>
    <row r="34" spans="1:15" ht="25.5" customHeight="1">
      <c r="A34" s="322"/>
      <c r="B34" s="288" t="s">
        <v>227</v>
      </c>
      <c r="C34" s="288"/>
      <c r="D34" s="118" t="e">
        <f>IF($B$2="15-19",100*(Result_summary!$D$14)/(Result_summary!$D$14+Result_summary!$J$14+Result_summary!$M$14+Result_summary!$D$36+Result_summary!$J$36+Result_summary!$M$36),IF($B$2="20-24",100*(Result_summary!$F$14)/(Result_summary!$F$14+Result_summary!$K$14+Result_summary!$N$14+Result_summary!$F$36+Result_summary!$K$36+Result_summary!$N$36),IF($B$2="25-29",100*(Result_summary!$H$14)/(Result_summary!$H$14+Result_summary!$L$14+Result_summary!$O$14+Result_summary!$H$36+Result_summary!$L$36+Result_summary!$O$36),IF($B$2="15-24",100*(Result_summary!$P$14)/(Result_summary!$P$14+Result_summary!$R$14+Result_summary!$S$14+Result_summary!$P$36+Result_summary!$R$36+Result_summary!$S$36),IF($B$2="18-24",100*(Result_summary!$X$14)/(Result_summary!$X$14+Result_summary!$Z$14+Result_summary!$AA$14+Result_summary!$X$36+Result_summary!$Z$36+Result_summary!$AA$36),IF($B$2="15-29",100*(Result_summary!$T$14)/(Result_summary!$T$14+Result_summary!$V$14+Result_summary!$W$14+Result_summary!$T$36+Result_summary!$V$36+Result_summary!$W$36)))))))</f>
        <v>#DIV/0!</v>
      </c>
      <c r="E34" s="120" t="e">
        <f>IF($B$2="15-19",100*(Result_summary!$E14)/(Result_summary!$D14+Result_summary!$K14+Result_summary!$N14+Result_summary!$D36+Result_summary!$K36+Result_summary!$N36),IF($B$2="20-24",100*(Result_summary!$G14)/(Result_summary!$F14+Result_summary!$L14+Result_summary!$O14+Result_summary!$F36+Result_summary!$L36+Result_summary!$O36),IF($B$2="25-29",100*(Result_summary!$I14)/(Result_summary!$H14+Result_summary!$M14+Result_summary!$P14+Result_summary!$H36+Result_summary!$M36+Result_summary!$P36),IF($B$2="15-24",100*(Result_summary!$Q14)/(Result_summary!$P14+Result_summary!$R14+Result_summary!$S14+Result_summary!$P36+Result_summary!$R36+Result_summary!$S36),IF($B$2="18-24",100*(Result_summary!$Y14)/(Result_summary!$X14+Result_summary!$Z14+Result_summary!$AA14+Result_summary!$X36+Result_summary!$Z36+Result_summary!$AA36),IF($B$2="15-29",100*(Result_summary!$U14)/(Result_summary!$T14+Result_summary!$V14+Result_summary!$W14+Result_summary!$T36+Result_summary!$V36+Result_summary!$W36)))))))</f>
        <v>#DIV/0!</v>
      </c>
      <c r="F34" s="120" t="e">
        <f t="shared" si="19"/>
        <v>#DIV/0!</v>
      </c>
      <c r="G34" s="120" t="e">
        <f>IF($B$2="15-19",100*(Result_summary!$J$14)/(Result_summary!$D$14+Result_summary!$J$14+Result_summary!$M$14+Result_summary!$D$36+Result_summary!$J$36+Result_summary!$M$36),IF($B$2="20-24",100*(Result_summary!$K$14)/(Result_summary!$F$14+Result_summary!$K$14+Result_summary!$N$14+Result_summary!$F$36+Result_summary!$K$36+Result_summary!$N$36),IF($B$2="25-29",100*(Result_summary!$L$14)/(Result_summary!$H$14+Result_summary!$L$14+Result_summary!$O$14+Result_summary!$H$36+Result_summary!$L$36+Result_summary!$O$36),IF($B$2="15-24",100*(Result_summary!$R$14)/(Result_summary!$P$14+Result_summary!$R$14+Result_summary!$S$14+Result_summary!$P$36+Result_summary!$R$36+Result_summary!$S$36),IF($B$2="18-24",100*(Result_summary!$Z$14)/(Result_summary!$X$14+Result_summary!$Z$14+Result_summary!$AA$14+Result_summary!$X$36+Result_summary!$Z$36+Result_summary!$AA$36),IF($B$2="15-29",100*(Result_summary!$V$14)/(Result_summary!$T$14+Result_summary!$V$14+Result_summary!$W$14+Result_summary!$T$36+Result_summary!$V$36+Result_summary!$W$36)))))))</f>
        <v>#DIV/0!</v>
      </c>
      <c r="H34" s="120" t="e">
        <f>IF($B$2="15-19",100*(Result_summary!$M$14)/(Result_summary!$D$14+Result_summary!$J$14+Result_summary!$M$14+Result_summary!$D$36+Result_summary!$J$36+Result_summary!$M$36),IF($B$2="20-24",100*(Result_summary!$N$14)/(Result_summary!$F$14+Result_summary!$K$14+Result_summary!$N$14+Result_summary!$F$36+Result_summary!$K$36+Result_summary!$N$36),IF($B$2="25-29",100*(Result_summary!$O$14)/(Result_summary!$H$14+Result_summary!$L$14+Result_summary!$O$14+Result_summary!$H$36+Result_summary!$L$36+Result_summary!$O$36),IF($B$2="15-24",100*(Result_summary!$S$14)/(Result_summary!$P$14+Result_summary!$R$14+Result_summary!$S$14+Result_summary!$P$36+Result_summary!$R$36+Result_summary!$S$36),IF($B$2="18-24",100*(Result_summary!$AA$14)/(Result_summary!$X$14+Result_summary!$Z$14+Result_summary!$AA$14+Result_summary!$X$36+Result_summary!$Z$36+Result_summary!$AA$36),IF($B$2="15-29",100*(Result_summary!$W$14)/(Result_summary!$T$14+Result_summary!$V$14+Result_summary!$W$14+Result_summary!$T$36+Result_summary!$V$36+Result_summary!$W$36)))))))</f>
        <v>#DIV/0!</v>
      </c>
      <c r="I34" s="120" t="e">
        <f t="shared" ref="I34:I35" si="32">D34+G34+H34</f>
        <v>#DIV/0!</v>
      </c>
      <c r="J34" s="126" t="e">
        <f>IF($B$2="15-19",100*(Result_summary!$D$36)/(Result_summary!$D$14+Result_summary!$J$14+Result_summary!$M$14+Result_summary!$D$36+Result_summary!$J$36+Result_summary!$M$36),IF($B$2="20-24",100*(Result_summary!$F$36)/(Result_summary!$F$14+Result_summary!$K$14+Result_summary!$N$14+Result_summary!$F$36+Result_summary!$K$36+Result_summary!$N$36),IF($B$2="25-29",100*(Result_summary!$H$36)/(Result_summary!$H$14+Result_summary!$L$14+Result_summary!$O$14+Result_summary!$H$36+Result_summary!$L$36+Result_summary!$O$36),IF($B$2="15-24",100*(Result_summary!$P$36)/(Result_summary!$P$14+Result_summary!$R$14+Result_summary!$S$14+Result_summary!$P$36+Result_summary!$R$36+Result_summary!$S$36),IF($B$2="18-24",100*(Result_summary!$X$36)/(Result_summary!$X$14+Result_summary!$Z$14+Result_summary!$AA$14+Result_summary!$X$36+Result_summary!$Z$36+Result_summary!$AA$36),IF($B$2="15-29",100*(Result_summary!$T$36)/(Result_summary!$T$14+Result_summary!$V$14+Result_summary!$W$14+Result_summary!$T$36+Result_summary!$V$36+Result_summary!$W$36)))))))</f>
        <v>#DIV/0!</v>
      </c>
      <c r="K34" s="120" t="e">
        <f t="shared" ref="K34:K35" si="33">L34+M34</f>
        <v>#DIV/0!</v>
      </c>
      <c r="L34" s="120" t="e">
        <f>IF($B$2="15-19",100*(Result_summary!$J$36)/(Result_summary!$D$14+Result_summary!$J$14+Result_summary!$M$14+Result_summary!$D$36+Result_summary!$J$36+Result_summary!$M$36),IF($B$2="20-24",100*(Result_summary!$K$36)/(Result_summary!$F$14+Result_summary!$K$14+Result_summary!$N$14+Result_summary!$F$36+Result_summary!$K$36+Result_summary!$N$36),IF($B$2="25-29",100*(Result_summary!$L$36)/(Result_summary!$H$14+Result_summary!$L$14+Result_summary!$O$14+Result_summary!$H$36+Result_summary!$L$36+Result_summary!$O$36),IF($B$2="15-24",100*(Result_summary!$R$36)/(Result_summary!$P$14+Result_summary!$R$14+Result_summary!$S$14+Result_summary!$P$36+Result_summary!$R$36+Result_summary!$S$36),IF($B$2="18-24",100*(Result_summary!$Z$36)/(Result_summary!$X$14+Result_summary!$Z$14+Result_summary!$AA$14+Result_summary!$X$36+Result_summary!$Z$36+Result_summary!$AA$36),IF($B$2="15-29",100*(Result_summary!$V$36)/(Result_summary!$T$14+Result_summary!$V$14+Result_summary!$W$14+Result_summary!$T$36+Result_summary!$V$36+Result_summary!$W$36)))))))</f>
        <v>#DIV/0!</v>
      </c>
      <c r="M34" s="120" t="e">
        <f>IF($B$2="15-19",100*(Result_summary!$M$36)/(Result_summary!$D$14+Result_summary!$J$14+Result_summary!$M$14+Result_summary!$D$36+Result_summary!$J$36+Result_summary!$M$36),IF($B$2="20-24",100*(Result_summary!$N$36)/(Result_summary!$F$14+Result_summary!$K$14+Result_summary!$N$14+Result_summary!$F$36+Result_summary!$K$36+Result_summary!$N$36),IF($B$2="25-29",100*(Result_summary!$O$36)/(Result_summary!$H$14+Result_summary!$L$14+Result_summary!$O$14+Result_summary!$H$36+Result_summary!$L$36+Result_summary!$O$36),IF($B$2="15-24",100*(Result_summary!$S$36)/(Result_summary!$P$14+Result_summary!$R$14+Result_summary!$S$14+Result_summary!$P$36+Result_summary!$R$36+Result_summary!$S$36),IF($B$2="18-24",100*(Result_summary!$AA$36)/(Result_summary!$X$14+Result_summary!$Z$14+Result_summary!$AA$14+Result_summary!$X$36+Result_summary!$Z$36+Result_summary!$AA$36),IF($B$2="15-29",100*(Result_summary!$W$36)/(Result_summary!$T$14+Result_summary!$V$14+Result_summary!$W$14+Result_summary!$T$36+Result_summary!$V$36+Result_summary!$W$36)))))))</f>
        <v>#DIV/0!</v>
      </c>
      <c r="N34" s="120" t="e">
        <f t="shared" ref="N34:N35" si="34">J34+K34</f>
        <v>#DIV/0!</v>
      </c>
      <c r="O34" s="129" t="e">
        <f>N34+I34</f>
        <v>#DIV/0!</v>
      </c>
    </row>
    <row r="35" spans="1:15" ht="25.5" customHeight="1">
      <c r="A35" s="322"/>
      <c r="B35" s="288" t="s">
        <v>228</v>
      </c>
      <c r="C35" s="288"/>
      <c r="D35" s="118" t="e">
        <f>IF($B$2="15-19",100*(Result_summary!$D$15)/(Result_summary!$D$15+Result_summary!$J$15+Result_summary!$M$15+Result_summary!$D$37+Result_summary!$J$37+Result_summary!$M$37),IF($B$2="20-24",100*(Result_summary!$F$15)/(Result_summary!$F$15+Result_summary!$K$15+Result_summary!$N$15+Result_summary!$F$37+Result_summary!$K$37+Result_summary!$N$37),IF($B$2="25-29",100*(Result_summary!$H$15)/(Result_summary!$H$15+Result_summary!$L$15+Result_summary!$O$15+Result_summary!$H$37+Result_summary!$L$37+Result_summary!$O$37),IF($B$2="15-24",100*(Result_summary!$P$15)/(Result_summary!$P$15+Result_summary!$R$15+Result_summary!$S$15+Result_summary!$P$37+Result_summary!$R$37+Result_summary!$S$37),IF($B$2="18-24",100*(Result_summary!$X$15)/(Result_summary!$X$15+Result_summary!$Z$15+Result_summary!$AA$15+Result_summary!$X$37+Result_summary!$Z$37+Result_summary!$AA$37),IF($B$2="15-29",100*(Result_summary!$T$15)/(Result_summary!$T$15+Result_summary!$V$15+Result_summary!$W$15+Result_summary!$T$37+Result_summary!$V$37+Result_summary!$W$37)))))))</f>
        <v>#DIV/0!</v>
      </c>
      <c r="E35" s="120" t="e">
        <f>IF($B$2="15-19",100*(Result_summary!$E15)/(Result_summary!$D15+Result_summary!$K15+Result_summary!$N15+Result_summary!$D37+Result_summary!$K37+Result_summary!$N37),IF($B$2="20-24",100*(Result_summary!$G15)/(Result_summary!$F15+Result_summary!$L15+Result_summary!$O15+Result_summary!$F37+Result_summary!$L37+Result_summary!$O37),IF($B$2="25-29",100*(Result_summary!$I15)/(Result_summary!$H15+Result_summary!$M15+Result_summary!$P15+Result_summary!$H37+Result_summary!$M37+Result_summary!$P37),IF($B$2="15-24",100*(Result_summary!$Q15)/(Result_summary!$P15+Result_summary!$R15+Result_summary!$S15+Result_summary!$P37+Result_summary!$R37+Result_summary!$S37),IF($B$2="18-24",100*(Result_summary!$Y15)/(Result_summary!$X15+Result_summary!$Z15+Result_summary!$AA15+Result_summary!$X37+Result_summary!$Z37+Result_summary!$AA37),IF($B$2="15-29",100*(Result_summary!$U15)/(Result_summary!$T15+Result_summary!$V15+Result_summary!$W15+Result_summary!$T37+Result_summary!$V37+Result_summary!$W37)))))))</f>
        <v>#DIV/0!</v>
      </c>
      <c r="F35" s="120" t="e">
        <f t="shared" si="19"/>
        <v>#DIV/0!</v>
      </c>
      <c r="G35" s="120" t="e">
        <f>IF($B$2="15-19",100*(Result_summary!$J$15)/(Result_summary!$D$15+Result_summary!$J$15+Result_summary!$M$15+Result_summary!$D$37+Result_summary!$J$37+Result_summary!$M$37),IF($B$2="20-24",100*(Result_summary!$K$15)/(Result_summary!$F$15+Result_summary!$K$15+Result_summary!$N$15+Result_summary!$F$37+Result_summary!$K$37+Result_summary!$N$37),IF($B$2="25-29",100*(Result_summary!$L$15)/(Result_summary!$H$15+Result_summary!$L$15+Result_summary!$O$15+Result_summary!$H$37+Result_summary!$L$37+Result_summary!$O$37),IF($B$2="15-24",100*(Result_summary!$R$15)/(Result_summary!$P$15+Result_summary!$R$15+Result_summary!$S$15+Result_summary!$P$37+Result_summary!$R$37+Result_summary!$S$37),IF($B$2="18-24",100*(Result_summary!$Z$15)/(Result_summary!$X$15+Result_summary!$Z$15+Result_summary!$AA$15+Result_summary!$X$37+Result_summary!$Z$37+Result_summary!$AA$37),IF($B$2="15-29",100*(Result_summary!$V$15)/(Result_summary!$T$15+Result_summary!$V$15+Result_summary!$W$15+Result_summary!$T$37+Result_summary!$V$37+Result_summary!$W$37)))))))</f>
        <v>#DIV/0!</v>
      </c>
      <c r="H35" s="120" t="e">
        <f>IF($B$2="15-19",100*(Result_summary!$M$15)/(Result_summary!$D$15+Result_summary!$J$15+Result_summary!$M$15+Result_summary!$D$37+Result_summary!$J$37+Result_summary!$M$37),IF($B$2="20-24",100*(Result_summary!$N$15)/(Result_summary!$F$15+Result_summary!$K$15+Result_summary!$N$15+Result_summary!$F$37+Result_summary!$K$37+Result_summary!$N$37),IF($B$2="25-29",100*(Result_summary!$O$15)/(Result_summary!$H$15+Result_summary!$L$15+Result_summary!$O$15+Result_summary!$H$37+Result_summary!$L$37+Result_summary!$O$37),IF($B$2="15-24",100*(Result_summary!$S$15)/(Result_summary!$P$15+Result_summary!$R$15+Result_summary!$S$15+Result_summary!$P$37+Result_summary!$R$37+Result_summary!$S$37),IF($B$2="18-24",100*(Result_summary!$AA$15)/(Result_summary!$X$15+Result_summary!$Z$15+Result_summary!$AA$15+Result_summary!$X$37+Result_summary!$Z$37+Result_summary!$AA$37),IF($B$2="15-29",100*(Result_summary!$W$15)/(Result_summary!$T$15+Result_summary!$V$15+Result_summary!$W$15+Result_summary!$T$37+Result_summary!$V$37+Result_summary!$W$37)))))))</f>
        <v>#DIV/0!</v>
      </c>
      <c r="I35" s="120" t="e">
        <f t="shared" si="32"/>
        <v>#DIV/0!</v>
      </c>
      <c r="J35" s="126" t="e">
        <f>IF($B$2="15-19",100*(Result_summary!$D$37)/(Result_summary!$D$15+Result_summary!$J$15+Result_summary!$M$15+Result_summary!$D$37+Result_summary!$J$37+Result_summary!$M$37),IF($B$2="20-24",100*(Result_summary!$F$37)/(Result_summary!$F$15+Result_summary!$K$15+Result_summary!$N$15+Result_summary!$F$37+Result_summary!$K$37+Result_summary!$N$37),IF($B$2="25-29",100*(Result_summary!$H$37)/(Result_summary!$H$15+Result_summary!$L$15+Result_summary!$O$15+Result_summary!$H$37+Result_summary!$L$37+Result_summary!$O$37),IF($B$2="15-24",100*(Result_summary!$P$37)/(Result_summary!$P$15+Result_summary!$R$15+Result_summary!$S$15+Result_summary!$P$37+Result_summary!$R$37+Result_summary!$S$37),IF($B$2="18-24",100*(Result_summary!$X$37)/(Result_summary!$X$15+Result_summary!$Z$15+Result_summary!$AA$15+Result_summary!$X$37+Result_summary!$Z$37+Result_summary!$AA$37),IF($B$2="15-29",100*(Result_summary!$T$37)/(Result_summary!$T$15+Result_summary!$V$15+Result_summary!$W$15+Result_summary!$T$37+Result_summary!$V$37+Result_summary!$W$37)))))))</f>
        <v>#DIV/0!</v>
      </c>
      <c r="K35" s="120" t="e">
        <f t="shared" si="33"/>
        <v>#DIV/0!</v>
      </c>
      <c r="L35" s="120" t="e">
        <f>IF($B$2="15-19",100*(Result_summary!$J$37)/(Result_summary!$D$15+Result_summary!$J$15+Result_summary!$M$15+Result_summary!$D$37+Result_summary!$J$37+Result_summary!$M$37),IF($B$2="20-24",100*(Result_summary!$K$37)/(Result_summary!$F$15+Result_summary!$K$15+Result_summary!$N$15+Result_summary!$F$37+Result_summary!$K$37+Result_summary!$N$37),IF($B$2="25-29",100*(Result_summary!$L$37)/(Result_summary!$H$15+Result_summary!$L$15+Result_summary!$O$15+Result_summary!$H$37+Result_summary!$L$37+Result_summary!$O$37),IF($B$2="15-24",100*(Result_summary!$R$37)/(Result_summary!$P$15+Result_summary!$R$15+Result_summary!$S$15+Result_summary!$P$37+Result_summary!$R$37+Result_summary!$S$37),IF($B$2="18-24",100*(Result_summary!$Z$37)/(Result_summary!$X$15+Result_summary!$Z$15+Result_summary!$AA$15+Result_summary!$X$37+Result_summary!$Z$37+Result_summary!$AA$37),IF($B$2="15-29",100*(Result_summary!$V$37)/(Result_summary!$T$15+Result_summary!$V$15+Result_summary!$W$15+Result_summary!$T$37+Result_summary!$V$37+Result_summary!$W$37)))))))</f>
        <v>#DIV/0!</v>
      </c>
      <c r="M35" s="120" t="e">
        <f>IF($B$2="15-19",100*(Result_summary!$M$37)/(Result_summary!$D$15+Result_summary!$J$15+Result_summary!$M$15+Result_summary!$D$37+Result_summary!$J$37+Result_summary!$M$37),IF($B$2="20-24",100*(Result_summary!$N$37)/(Result_summary!$F$15+Result_summary!$K$15+Result_summary!$N$15+Result_summary!$F$37+Result_summary!$K$37+Result_summary!$N$37),IF($B$2="25-29",100*(Result_summary!$O$37)/(Result_summary!$H$15+Result_summary!$L$15+Result_summary!$O$15+Result_summary!$H$37+Result_summary!$L$37+Result_summary!$O$37),IF($B$2="15-24",100*(Result_summary!$S$37)/(Result_summary!$P$15+Result_summary!$R$15+Result_summary!$S$15+Result_summary!$P$37+Result_summary!$R$37+Result_summary!$S$37),IF($B$2="18-24",100*(Result_summary!$AA$37)/(Result_summary!$X$15+Result_summary!$Z$15+Result_summary!$AA$15+Result_summary!$X$37+Result_summary!$Z$37+Result_summary!$AA$37),IF($B$2="15-29",100*(Result_summary!$W$37)/(Result_summary!$T$15+Result_summary!$V$15+Result_summary!$W$15+Result_summary!$T$37+Result_summary!$V$37+Result_summary!$W$37)))))))</f>
        <v>#DIV/0!</v>
      </c>
      <c r="N35" s="120" t="e">
        <f t="shared" si="34"/>
        <v>#DIV/0!</v>
      </c>
      <c r="O35" s="129" t="e">
        <f>N35+I35</f>
        <v>#DIV/0!</v>
      </c>
    </row>
    <row r="36" spans="1:15" ht="12.6" customHeight="1" thickBot="1">
      <c r="A36" s="323"/>
      <c r="B36" s="326" t="s">
        <v>9</v>
      </c>
      <c r="C36" s="326"/>
      <c r="D36" s="131" t="e">
        <f>IF($B$2="15-19",100*(Result_summary!$D$16)/(Result_summary!$D$16+Result_summary!$J$16+Result_summary!$M$16+Result_summary!$D$38+Result_summary!$J$38+Result_summary!$M$38),IF($B$2="20-24",100*(Result_summary!$F$16)/(Result_summary!$F$16+Result_summary!$K$16+Result_summary!$N$16+Result_summary!$F$38+Result_summary!$K$38+Result_summary!$N$38),IF($B$2="25-29",100*(Result_summary!$H$16)/(Result_summary!$H$16+Result_summary!$L$16+Result_summary!$O$16+Result_summary!$H$38+Result_summary!$L$38+Result_summary!$O$38),IF($B$2="15-24",100*(Result_summary!$P$16)/(Result_summary!$P$16+Result_summary!$R$16+Result_summary!$S$16+Result_summary!$P$38+Result_summary!$R$38+Result_summary!$S$38),IF($B$2="18-24",100*(Result_summary!$X$16)/(Result_summary!$X$16+Result_summary!$Z$16+Result_summary!$AA$16+Result_summary!$X$38+Result_summary!$Z$38+Result_summary!$AA$38),IF($B$2="15-29",100*(Result_summary!$T$16)/(Result_summary!$T$16+Result_summary!$V$16+Result_summary!$W$16+Result_summary!$T$38+Result_summary!$V$38+Result_summary!$W$38)))))))</f>
        <v>#DIV/0!</v>
      </c>
      <c r="E36" s="131" t="e">
        <f>IF($B$2="15-19",100*(Result_summary!$E16)/(Result_summary!$D16+Result_summary!$K16+Result_summary!$N16+Result_summary!$D38+Result_summary!$K38+Result_summary!$N38),IF($B$2="20-24",100*(Result_summary!$G16)/(Result_summary!$F16+Result_summary!$L16+Result_summary!$O16+Result_summary!$F38+Result_summary!$L38+Result_summary!$O38),IF($B$2="25-29",100*(Result_summary!$I16)/(Result_summary!$H16+Result_summary!$M16+Result_summary!$P16+Result_summary!$H38+Result_summary!$M38+Result_summary!$P38),IF($B$2="15-24",100*(Result_summary!$Q16)/(Result_summary!$P16+Result_summary!$R16+Result_summary!$S16+Result_summary!$P38+Result_summary!$R38+Result_summary!$S38),IF($B$2="18-24",100*(Result_summary!$Y16)/(Result_summary!$X16+Result_summary!$Z16+Result_summary!$AA16+Result_summary!$X38+Result_summary!$Z38+Result_summary!$AA38),IF($B$2="15-29",100*(Result_summary!$U16)/(Result_summary!$T16+Result_summary!$V16+Result_summary!$W16+Result_summary!$T38+Result_summary!$V38+Result_summary!$W38)))))))</f>
        <v>#DIV/0!</v>
      </c>
      <c r="F36" s="131" t="e">
        <f t="shared" si="19"/>
        <v>#DIV/0!</v>
      </c>
      <c r="G36" s="131" t="e">
        <f>IF($B$2="15-19",100*(Result_summary!$J$16)/(Result_summary!$D$16+Result_summary!$J$16+Result_summary!$M$16+Result_summary!$D$38+Result_summary!$J$38+Result_summary!$M$38),IF($B$2="20-24",100*(Result_summary!$K$16)/(Result_summary!$F$16+Result_summary!$K$16+Result_summary!$N$16+Result_summary!$F$38+Result_summary!$K$38+Result_summary!$N$38),IF($B$2="25-29",100*(Result_summary!$L$16)/(Result_summary!$H$16+Result_summary!$L$16+Result_summary!$O$16+Result_summary!$H$38+Result_summary!$L$38+Result_summary!$O$38),IF($B$2="15-24",100*(Result_summary!$R$16)/(Result_summary!$P$16+Result_summary!$R$16+Result_summary!$S$16+Result_summary!$P$38+Result_summary!$R$38+Result_summary!$S$38),IF($B$2="18-24",100*(Result_summary!$Z$16)/(Result_summary!$X$16+Result_summary!$Z$16+Result_summary!$AA$16+Result_summary!$X$38+Result_summary!$Z$38+Result_summary!$AA$38),IF($B$2="15-29",100*(Result_summary!$V$16)/(Result_summary!$T$16+Result_summary!$V$16+Result_summary!$W$16+Result_summary!$T$38+Result_summary!$V$38+Result_summary!$W$38)))))))</f>
        <v>#DIV/0!</v>
      </c>
      <c r="H36" s="131" t="e">
        <f>IF($B$2="15-19",100*(Result_summary!$M$16)/(Result_summary!$D$16+Result_summary!$J$16+Result_summary!$M$16+Result_summary!$D$38+Result_summary!$J$38+Result_summary!$M$38),IF($B$2="20-24",100*(Result_summary!$N$16)/(Result_summary!$F$16+Result_summary!$K$16+Result_summary!$N$16+Result_summary!$F$38+Result_summary!$K$38+Result_summary!$N$38),IF($B$2="25-29",100*(Result_summary!$O$16)/(Result_summary!$H$16+Result_summary!$L$16+Result_summary!$O$16+Result_summary!$H$38+Result_summary!$L$38+Result_summary!$O$38),IF($B$2="15-24",100*(Result_summary!$S$16)/(Result_summary!$P$16+Result_summary!$R$16+Result_summary!$S$16+Result_summary!$P$38+Result_summary!$R$38+Result_summary!$S$38),IF($B$2="18-24",100*(Result_summary!$AA$16)/(Result_summary!$X$16+Result_summary!$Z$16+Result_summary!$AA$16+Result_summary!$X$38+Result_summary!$Z$38+Result_summary!$AA$38),IF($B$2="15-29",100*(Result_summary!$W$16)/(Result_summary!$T$16+Result_summary!$V$16+Result_summary!$W$16+Result_summary!$T$38+Result_summary!$V$38+Result_summary!$W$38)))))))</f>
        <v>#DIV/0!</v>
      </c>
      <c r="I36" s="131" t="e">
        <f t="shared" ref="I36" si="35">D36+G36+H36</f>
        <v>#DIV/0!</v>
      </c>
      <c r="J36" s="132" t="e">
        <f>IF($B$2="15-19",100*(Result_summary!$D$38)/(Result_summary!$D$16+Result_summary!$J$16+Result_summary!$M$16+Result_summary!$D$38+Result_summary!$J$38+Result_summary!$M$38),IF($B$2="20-24",100*(Result_summary!$F$38)/(Result_summary!$F$16+Result_summary!$K$16+Result_summary!$N$16+Result_summary!$F$38+Result_summary!$K$38+Result_summary!$N$38),IF($B$2="25-29",100*(Result_summary!$H$38)/(Result_summary!$H$16+Result_summary!$L$16+Result_summary!$O$16+Result_summary!$H$38+Result_summary!$L$38+Result_summary!$O$38),IF($B$2="15-24",100*(Result_summary!$P$38)/(Result_summary!$P$16+Result_summary!$R$16+Result_summary!$S$16+Result_summary!$P$38+Result_summary!$R$38+Result_summary!$S$38),IF($B$2="18-24",100*(Result_summary!$X$38)/(Result_summary!$X$16+Result_summary!$Z$16+Result_summary!$AA$16+Result_summary!$X$38+Result_summary!$Z$38+Result_summary!$AA$38),IF($B$2="15-29",100*(Result_summary!$T$38)/(Result_summary!$T$16+Result_summary!$V$16+Result_summary!$W$16+Result_summary!$T$38+Result_summary!$V$38+Result_summary!$W$38)))))))</f>
        <v>#DIV/0!</v>
      </c>
      <c r="K36" s="131" t="e">
        <f t="shared" ref="K36" si="36">L36+M36</f>
        <v>#DIV/0!</v>
      </c>
      <c r="L36" s="131" t="e">
        <f>IF($B$2="15-19",100*(Result_summary!$J$38)/(Result_summary!$D$16+Result_summary!$J$16+Result_summary!$M$16+Result_summary!$D$38+Result_summary!$J$38+Result_summary!$M$38),IF($B$2="20-24",100*(Result_summary!$K$38)/(Result_summary!$F$16+Result_summary!$K$16+Result_summary!$N$16+Result_summary!$F$38+Result_summary!$K$38+Result_summary!$N$38),IF($B$2="25-29",100*(Result_summary!$L$38)/(Result_summary!$H$16+Result_summary!$L$16+Result_summary!$O$16+Result_summary!$H$38+Result_summary!$L$38+Result_summary!$O$38),IF($B$2="15-24",100*(Result_summary!$R$38)/(Result_summary!$P$16+Result_summary!$R$16+Result_summary!$S$16+Result_summary!$P$38+Result_summary!$R$38+Result_summary!$S$38),IF($B$2="18-24",100*(Result_summary!$Z$38)/(Result_summary!$X$16+Result_summary!$Z$16+Result_summary!$AA$16+Result_summary!$X$38+Result_summary!$Z$38+Result_summary!$AA$38),IF($B$2="15-29",100*(Result_summary!$V$38)/(Result_summary!$T$16+Result_summary!$V$16+Result_summary!$W$16+Result_summary!$T$38+Result_summary!$V$38+Result_summary!$W$38)))))))</f>
        <v>#DIV/0!</v>
      </c>
      <c r="M36" s="131" t="e">
        <f>IF($B$2="15-19",100*(Result_summary!$M$38)/(Result_summary!$D$16+Result_summary!$J$16+Result_summary!$M$16+Result_summary!$D$38+Result_summary!$J$38+Result_summary!$M$38),IF($B$2="20-24",100*(Result_summary!$N$38)/(Result_summary!$F$16+Result_summary!$K$16+Result_summary!$N$16+Result_summary!$F$38+Result_summary!$K$38+Result_summary!$N$38),IF($B$2="25-29",100*(Result_summary!$O$38)/(Result_summary!$H$16+Result_summary!$L$16+Result_summary!$O$16+Result_summary!$H$38+Result_summary!$L$38+Result_summary!$O$38),IF($B$2="15-24",100*(Result_summary!$S$38)/(Result_summary!$P$16+Result_summary!$R$16+Result_summary!$S$16+Result_summary!$P$38+Result_summary!$R$38+Result_summary!$S$38),IF($B$2="18-24",100*(Result_summary!$AA$38)/(Result_summary!$X$16+Result_summary!$Z$16+Result_summary!$AA$16+Result_summary!$X$38+Result_summary!$Z$38+Result_summary!$AA$38),IF($B$2="15-29",100*(Result_summary!$W$38)/(Result_summary!$T$16+Result_summary!$V$16+Result_summary!$W$16+Result_summary!$T$38+Result_summary!$V$38+Result_summary!$W$38)))))))</f>
        <v>#DIV/0!</v>
      </c>
      <c r="N36" s="131" t="e">
        <f t="shared" si="18"/>
        <v>#DIV/0!</v>
      </c>
      <c r="O36" s="133" t="e">
        <f t="shared" ref="O36" si="37">N36+I36</f>
        <v>#DIV/0!</v>
      </c>
    </row>
    <row r="37" spans="1:15" s="19" customFormat="1">
      <c r="A37" s="124"/>
      <c r="B37" s="125"/>
      <c r="C37" s="125"/>
      <c r="D37" s="116"/>
      <c r="E37" s="116"/>
      <c r="F37" s="116"/>
      <c r="G37" s="116"/>
      <c r="H37" s="116"/>
      <c r="I37" s="116"/>
      <c r="J37" s="116"/>
      <c r="K37" s="116"/>
      <c r="L37" s="116"/>
      <c r="M37" s="116"/>
      <c r="N37" s="116"/>
      <c r="O37" s="116"/>
    </row>
  </sheetData>
  <mergeCells count="46">
    <mergeCell ref="B17:C21"/>
    <mergeCell ref="A17:A21"/>
    <mergeCell ref="I18:I20"/>
    <mergeCell ref="D18:H18"/>
    <mergeCell ref="A32:A36"/>
    <mergeCell ref="A27:A31"/>
    <mergeCell ref="A22:A26"/>
    <mergeCell ref="B36:C36"/>
    <mergeCell ref="B33:C33"/>
    <mergeCell ref="B32:C32"/>
    <mergeCell ref="B31:C31"/>
    <mergeCell ref="B28:C28"/>
    <mergeCell ref="B27:C27"/>
    <mergeCell ref="B26:C26"/>
    <mergeCell ref="B23:C23"/>
    <mergeCell ref="B22:C22"/>
    <mergeCell ref="D17:O17"/>
    <mergeCell ref="O18:O20"/>
    <mergeCell ref="D19:D20"/>
    <mergeCell ref="E19:F19"/>
    <mergeCell ref="G19:G20"/>
    <mergeCell ref="H19:H20"/>
    <mergeCell ref="J19:J20"/>
    <mergeCell ref="K19:K20"/>
    <mergeCell ref="L19:M19"/>
    <mergeCell ref="N18:N20"/>
    <mergeCell ref="J18:M18"/>
    <mergeCell ref="J8:K8"/>
    <mergeCell ref="L8:L9"/>
    <mergeCell ref="B6:M6"/>
    <mergeCell ref="B7:G7"/>
    <mergeCell ref="H7:L7"/>
    <mergeCell ref="M7:M9"/>
    <mergeCell ref="B8:B9"/>
    <mergeCell ref="C8:D8"/>
    <mergeCell ref="E8:E9"/>
    <mergeCell ref="F8:F9"/>
    <mergeCell ref="G8:G9"/>
    <mergeCell ref="H8:H9"/>
    <mergeCell ref="I8:I9"/>
    <mergeCell ref="B34:C34"/>
    <mergeCell ref="B35:C35"/>
    <mergeCell ref="B24:C24"/>
    <mergeCell ref="B25:C25"/>
    <mergeCell ref="B29:C29"/>
    <mergeCell ref="B30:C30"/>
  </mergeCells>
  <dataValidations count="2">
    <dataValidation type="list" allowBlank="1" showInputMessage="1" showErrorMessage="1" sqref="B3" xr:uid="{00000000-0002-0000-0700-000000000000}">
      <formula1>$Q$10:$Q$14</formula1>
    </dataValidation>
    <dataValidation type="list" allowBlank="1" showInputMessage="1" showErrorMessage="1" sqref="B2" xr:uid="{AD51C3C0-92FA-451B-9798-583D719967C1}">
      <formula1>$Q$10:$Q$15</formula1>
    </dataValidation>
  </dataValidations>
  <pageMargins left="0.70866141732283472" right="0.70866141732283472" top="0.74803149606299213" bottom="0.74803149606299213" header="0.31496062992125984" footer="0.31496062992125984"/>
  <pageSetup paperSize="9" scale="63" orientation="portrait"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8A5F6122648A41AF0281F2C8C84C73" ma:contentTypeVersion="0" ma:contentTypeDescription="Create a new document." ma:contentTypeScope="" ma:versionID="c118d88f470d09a70c75735f68da1265">
  <xsd:schema xmlns:xsd="http://www.w3.org/2001/XMLSchema" xmlns:p="http://schemas.microsoft.com/office/2006/metadata/properties" targetNamespace="http://schemas.microsoft.com/office/2006/metadata/properties" ma:root="true" ma:fieldsID="44608d658d880a74bad79e0bb6c71f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FC53DD-FA4D-4233-ADA2-4A06669F5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52C98D-51B3-4DA6-A93C-EEDF4FB4027D}">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34FB4BC-9F11-4D9E-B5C8-A6BB8D89F9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Contact_Info</vt:lpstr>
      <vt:lpstr>Definitions</vt:lpstr>
      <vt:lpstr>Data_source_Info</vt:lpstr>
      <vt:lpstr>Flat_file</vt:lpstr>
      <vt:lpstr>Result_summary</vt:lpstr>
      <vt:lpstr>Summary_Indicators</vt:lpstr>
      <vt:lpstr>Cover!Print_Area</vt:lpstr>
      <vt:lpstr>Data_source_Info!Print_Area</vt:lpstr>
      <vt:lpstr>Definitions!Print_Area</vt:lpstr>
      <vt:lpstr>Result_summary!Print_Area</vt:lpstr>
      <vt:lpstr>Data_source_Info!Print_Titles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NORMANDEAU Simon;Massimo Loi</dc:creator>
  <cp:lastModifiedBy>ZERBE Adrian, SDD</cp:lastModifiedBy>
  <cp:lastPrinted>2017-10-23T12:57:31Z</cp:lastPrinted>
  <dcterms:created xsi:type="dcterms:W3CDTF">2014-11-18T13:11:08Z</dcterms:created>
  <dcterms:modified xsi:type="dcterms:W3CDTF">2023-02-10T08:47:01Z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2023-02-10T08:46:48Z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b0ac7c3b-3435-4ac6-986c-ef964c3eabae</vt:lpwstr>
  </property>
  <property fmtid="{D5CDD505-2E9C-101B-9397-08002B2CF9AE}" pid="8" name="MSIP_Label_0e5510b0-e729-4ef0-a3dd-4ba0dfe56c99_ContentBits">
    <vt:lpwstr>2</vt:lpwstr>
  </property>
</Properties>
</file>